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10" windowWidth="15260" windowHeight="6150" tabRatio="787" firstSheet="1" activeTab="1"/>
  </bookViews>
  <sheets>
    <sheet name="Read" sheetId="9" r:id="rId1"/>
    <sheet name="P1-40 Pts" sheetId="1" r:id="rId2"/>
    <sheet name="P2-20 Pts" sheetId="2" r:id="rId3"/>
    <sheet name="P3-10 Pts" sheetId="3" r:id="rId4"/>
    <sheet name="P4-5 Pts" sheetId="5" r:id="rId5"/>
    <sheet name="P5-10 Pts" sheetId="4" r:id="rId6"/>
    <sheet name="P6-10 Pts" sheetId="6" r:id="rId7"/>
    <sheet name="P7-5 Pts" sheetId="7" r:id="rId8"/>
    <sheet name="P8-10 Pts" sheetId="8" r:id="rId9"/>
  </sheets>
  <definedNames>
    <definedName name="_xlnm.Print_Area" localSheetId="1">'P1-40 Pts'!$B$29:$L$59</definedName>
  </definedNames>
  <calcPr calcId="124519"/>
</workbook>
</file>

<file path=xl/calcChain.xml><?xml version="1.0" encoding="utf-8"?>
<calcChain xmlns="http://schemas.openxmlformats.org/spreadsheetml/2006/main">
  <c r="C24" i="2"/>
  <c r="B14" i="8"/>
  <c r="F12"/>
  <c r="C25" i="6"/>
  <c r="C20"/>
  <c r="C16"/>
  <c r="F31" i="4"/>
  <c r="H29"/>
  <c r="F22" i="5"/>
  <c r="E19" i="3"/>
  <c r="G10"/>
  <c r="G11"/>
  <c r="G12"/>
  <c r="G13"/>
  <c r="G14"/>
  <c r="G15"/>
  <c r="G16"/>
  <c r="G9"/>
  <c r="F10"/>
  <c r="F11" s="1"/>
  <c r="F12" s="1"/>
  <c r="F13" s="1"/>
  <c r="F14" s="1"/>
  <c r="F15" s="1"/>
  <c r="F16" s="1"/>
  <c r="F9"/>
  <c r="F8"/>
  <c r="D32" i="2"/>
  <c r="C19"/>
  <c r="C15"/>
  <c r="J57" i="1"/>
  <c r="J58" s="1"/>
  <c r="I43"/>
  <c r="I55"/>
  <c r="I57" s="1"/>
  <c r="I58" s="1"/>
  <c r="L50"/>
  <c r="E39"/>
  <c r="E38"/>
  <c r="E45" s="1"/>
  <c r="L39"/>
  <c r="L41" s="1"/>
  <c r="L44" s="1"/>
  <c r="L48" s="1"/>
  <c r="K39"/>
  <c r="K41" s="1"/>
  <c r="K44" s="1"/>
  <c r="K48" s="1"/>
  <c r="J39"/>
  <c r="J41" s="1"/>
  <c r="J44" s="1"/>
  <c r="J48" s="1"/>
  <c r="I39"/>
  <c r="I41" s="1"/>
  <c r="I44" s="1"/>
  <c r="J40"/>
  <c r="I40"/>
  <c r="J43"/>
  <c r="D43"/>
  <c r="E44" s="1"/>
  <c r="I45" l="1"/>
  <c r="I46" s="1"/>
  <c r="I47" s="1"/>
  <c r="I49" s="1"/>
  <c r="I52" s="1"/>
  <c r="I48"/>
  <c r="J45"/>
  <c r="J46" s="1"/>
  <c r="J47" s="1"/>
  <c r="J49" s="1"/>
  <c r="J52" s="1"/>
  <c r="J59"/>
  <c r="I59"/>
  <c r="K59" s="1"/>
  <c r="L51" s="1"/>
  <c r="K43"/>
  <c r="L43" l="1"/>
  <c r="L45" s="1"/>
  <c r="L46" s="1"/>
  <c r="L47" s="1"/>
  <c r="L49" s="1"/>
  <c r="L52" s="1"/>
  <c r="K45"/>
  <c r="K46" s="1"/>
  <c r="K47" s="1"/>
  <c r="K49" s="1"/>
  <c r="K52" s="1"/>
</calcChain>
</file>

<file path=xl/sharedStrings.xml><?xml version="1.0" encoding="utf-8"?>
<sst xmlns="http://schemas.openxmlformats.org/spreadsheetml/2006/main" count="164" uniqueCount="135">
  <si>
    <t>MACRS Percentages</t>
  </si>
  <si>
    <t>Year</t>
  </si>
  <si>
    <t>3-year</t>
  </si>
  <si>
    <t>5-year</t>
  </si>
  <si>
    <t>7-year</t>
  </si>
  <si>
    <t>10-year</t>
  </si>
  <si>
    <t>INPUTS</t>
  </si>
  <si>
    <t>Old Machine:</t>
  </si>
  <si>
    <t>New Machine:</t>
  </si>
  <si>
    <t>Original Price</t>
  </si>
  <si>
    <t>Current Value</t>
  </si>
  <si>
    <t>Installation Expenses</t>
  </si>
  <si>
    <t>Annual Cash Expenses</t>
  </si>
  <si>
    <t>General:</t>
  </si>
  <si>
    <t>Tax Rate</t>
  </si>
  <si>
    <t>Expected value in 4 years</t>
  </si>
  <si>
    <t>Req'd Return</t>
  </si>
  <si>
    <t>CASH FLOWS</t>
  </si>
  <si>
    <t>CASH FLOWS AT t=0</t>
  </si>
  <si>
    <t>Year 1</t>
  </si>
  <si>
    <t>Year 2</t>
  </si>
  <si>
    <t>Year 3</t>
  </si>
  <si>
    <t>Year 4</t>
  </si>
  <si>
    <t>CASH FLOWS FOR YEARS 1 to 4</t>
  </si>
  <si>
    <t>Time</t>
  </si>
  <si>
    <t>Cash
Flow</t>
  </si>
  <si>
    <t>Problem 2:</t>
  </si>
  <si>
    <t>Disount
Rate</t>
  </si>
  <si>
    <t>Answer:</t>
  </si>
  <si>
    <t>A.</t>
  </si>
  <si>
    <t>B.</t>
  </si>
  <si>
    <t>C.</t>
  </si>
  <si>
    <t>Column C contains the rates that need be substituted</t>
  </si>
  <si>
    <t>for the discount rate.</t>
  </si>
  <si>
    <t xml:space="preserve">Column D should contain the resulting NPV's for the </t>
  </si>
  <si>
    <t>various disount rates.</t>
  </si>
  <si>
    <t>Data Table</t>
  </si>
  <si>
    <t>D.</t>
  </si>
  <si>
    <t>rejecting this project? [2 Points]</t>
  </si>
  <si>
    <t>Place your graph below the data table and format it appropriately. [10 Points]</t>
  </si>
  <si>
    <t>Using the inputs above, create one formula that computes the Net Present Value of the project. [4 Points]</t>
  </si>
  <si>
    <t>Using the inputs above, create one formula that computes the Internal Rate of Return for the project. [4 Points]</t>
  </si>
  <si>
    <t>Problem 3:</t>
  </si>
  <si>
    <t>Payback Period</t>
  </si>
  <si>
    <t xml:space="preserve">The MACRS depreciation rates are given in the table </t>
  </si>
  <si>
    <t>whatever formulas are needed to arrive at the dollar</t>
  </si>
  <si>
    <t>amount of depreciation for the asset in any year for any of</t>
  </si>
  <si>
    <t>Problem 4:</t>
  </si>
  <si>
    <t>Year of Asset's Life (1-11):</t>
  </si>
  <si>
    <t xml:space="preserve">below. Using the inputs provided below the table, create </t>
  </si>
  <si>
    <t>the four classes of depreciation. The resulting dollar</t>
  </si>
  <si>
    <t>amount of deprecation should be shown in the yellow cell.</t>
  </si>
  <si>
    <t>Depreciation Class (3,5,7, or 10)</t>
  </si>
  <si>
    <t>Original Cost of Asset:</t>
  </si>
  <si>
    <t>Your method must work for any allowed values of the inputs.</t>
  </si>
  <si>
    <t>Dollar Amount of Depreciation:</t>
  </si>
  <si>
    <t>Problem 5:</t>
  </si>
  <si>
    <t>The MACRS depreciation rates for 3-year class assets are given in the table below. Use the VLOOKUP function to create a formula in the yellow cell that returns the dollar amount of depreciation for the asset in any year of its life up to 10 years.</t>
  </si>
  <si>
    <t>Year of Asset's Life (1-10):</t>
  </si>
  <si>
    <t xml:space="preserve">Using the inputs and outputs above, what discount rate would make you indifferent between accepting or </t>
  </si>
  <si>
    <t>Problem 6:</t>
  </si>
  <si>
    <t>Using the inputs above, create one formula that computes the equivalent annual annuity for the project.</t>
  </si>
  <si>
    <t xml:space="preserve">Using the inputs above, create one formula that computes the modified internal rate of return for the project. </t>
  </si>
  <si>
    <t>to select a depreciation type. The selections should be 3-Year, 5-Year, 7-Year, and 10-year.</t>
  </si>
  <si>
    <t xml:space="preserve">Depreciation Type: </t>
  </si>
  <si>
    <t>In the yellow cell below, create a formula that will give the user a drop-down list</t>
  </si>
  <si>
    <t>The project will always be a 6-year project - not less. [3 Points]</t>
  </si>
  <si>
    <t>Using the inputs above, create one formula that computes the profitability index for the project. [3 Points]</t>
  </si>
  <si>
    <t>The project will always be a 6-year project - not less. [4 Points]</t>
  </si>
  <si>
    <t>Problem 7:</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</si>
  <si>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</si>
  <si>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</si>
  <si>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</si>
  <si>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</si>
  <si>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</si>
  <si>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</si>
  <si>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r>
      <t xml:space="preserve">The project has an NPV of </t>
    </r>
    <r>
      <rPr>
        <sz val="11"/>
        <color rgb="FFFF0000"/>
        <rFont val="Calibri"/>
        <family val="2"/>
        <scheme val="minor"/>
      </rPr>
      <t>$6,814.46</t>
    </r>
    <r>
      <rPr>
        <sz val="11"/>
        <color theme="1"/>
        <rFont val="Calibri"/>
        <family val="2"/>
        <scheme val="minor"/>
      </rPr>
      <t xml:space="preserve"> using a discount rate of </t>
    </r>
    <r>
      <rPr>
        <sz val="11"/>
        <color rgb="FFFF0000"/>
        <rFont val="Calibri"/>
        <family val="2"/>
        <scheme val="minor"/>
      </rPr>
      <t>10.52%</t>
    </r>
    <r>
      <rPr>
        <sz val="11"/>
        <color theme="1"/>
        <rFont val="Calibri"/>
        <family val="2"/>
        <scheme val="minor"/>
      </rPr>
      <t>.</t>
    </r>
  </si>
  <si>
    <t>Problem 8:</t>
  </si>
  <si>
    <t xml:space="preserve">are provided in the cells to the left. You can use intermediate </t>
  </si>
  <si>
    <t xml:space="preserve">IMPORTANT: SAVE THIS SPREADSHEET TO THE DESKTOP OF THE </t>
  </si>
  <si>
    <t>COMPUTER YOU ARE USING. RESAVE IT OFTEN WHILE YOU ARE</t>
  </si>
  <si>
    <t>WORKING ON IT.</t>
  </si>
  <si>
    <t>NOTHING SHOULD BE USED OR ACCESSED BY YOU DURING THIS</t>
  </si>
  <si>
    <t>TEST EXCEPT THE COMPUTER YOU ARE USING AND THIS FILE, AND</t>
  </si>
  <si>
    <t>BLACKBOARD WHEN YOU SUBMIT YOUR COMPLETED EXAM.</t>
  </si>
  <si>
    <t>YOU MAY NOT ACCESS THE INTERNET OTHER THAN TO SUBMIT</t>
  </si>
  <si>
    <t>YOUR COMPLETED EXAM IN BLACKBOARD.</t>
  </si>
  <si>
    <t>VIDEO SURVEILLANCE IS ACTIVE.</t>
  </si>
  <si>
    <t>Follow the instructions on each tabbed page.</t>
  </si>
  <si>
    <t>Submit your finished file in the digital dropbox in BlackBoard.</t>
  </si>
  <si>
    <t>There are 9 tabbed pages in this exam spreadsheet including this page.</t>
  </si>
  <si>
    <t>There are 8 problem pages with points possible noted on the tabs.</t>
  </si>
  <si>
    <t>Partial credit will be given where possible.</t>
  </si>
  <si>
    <t xml:space="preserve">There are 110 points possible on the exam out of 100. </t>
  </si>
  <si>
    <t>Scores over 100 should be considered extra credit for exceptional work.</t>
  </si>
  <si>
    <t xml:space="preserve">NOTE WELL: YOUR TEST NEEDS TO BE SUBMITTED, NOT SAVED. </t>
  </si>
  <si>
    <t>IF YOU JUST SAVE IT, I DON'T RECEIVE IT AND YOU GET A ZERO.</t>
  </si>
  <si>
    <t>Using the inputs and outputs above and the setup space below, create a data table</t>
  </si>
  <si>
    <t>that automatically calculates the NPV for the project (in Column D) for the discount rates</t>
  </si>
  <si>
    <t>given in Column C in the table. Then use the data table to create an NPV profile graph.</t>
  </si>
  <si>
    <t>BTSV Old Asset</t>
  </si>
  <si>
    <t>BV Old Asset</t>
  </si>
  <si>
    <t>Loss on Sale</t>
  </si>
  <si>
    <t>Operating Expenses</t>
  </si>
  <si>
    <t>Depreciation Old</t>
  </si>
  <si>
    <t>New Depreciation</t>
  </si>
  <si>
    <t>Difference</t>
  </si>
  <si>
    <t>Depreciation</t>
  </si>
  <si>
    <t>Purchase Price</t>
  </si>
  <si>
    <t>Installation</t>
  </si>
  <si>
    <t>Chg in Taxable Inc</t>
  </si>
  <si>
    <t>Tax</t>
  </si>
  <si>
    <t>Chg in Net Income</t>
  </si>
  <si>
    <t>Reverse Depn</t>
  </si>
  <si>
    <t>Net Operating CF</t>
  </si>
  <si>
    <t>Chg in Net Working Capital</t>
  </si>
  <si>
    <t>Tax Effect on Sale of Old Asset</t>
  </si>
  <si>
    <t>Net Initial Outlay</t>
  </si>
  <si>
    <t>Reverse NWC</t>
  </si>
  <si>
    <t>New</t>
  </si>
  <si>
    <t>Old</t>
  </si>
  <si>
    <t>BTSV</t>
  </si>
  <si>
    <t xml:space="preserve">Book Value </t>
  </si>
  <si>
    <t>Gain(Loss) on Sale</t>
  </si>
  <si>
    <t>Tax Effect</t>
  </si>
  <si>
    <t>ATSV</t>
  </si>
  <si>
    <t>Diff</t>
  </si>
  <si>
    <t>Chg in ATSV</t>
  </si>
  <si>
    <t>Net Cash Flow</t>
  </si>
  <si>
    <t xml:space="preserve">Using the inputs in the table below, create whatever formulas are needed to compute the payback period in years for any set of inputs within the 9-year time frame. Put the result in the yellow cell below the table. The result should show "X Years" in the cell where X is the payback period in years. If the inputs are set to produce a project that does not make payback within the 9 years, your result should return the word NEVER. </t>
  </si>
  <si>
    <t>3-Year</t>
  </si>
  <si>
    <t>5-Year</t>
  </si>
  <si>
    <t>7-Year</t>
  </si>
  <si>
    <t>10-Year</t>
  </si>
  <si>
    <t>NPV:</t>
  </si>
</sst>
</file>

<file path=xl/styles.xml><?xml version="1.0" encoding="utf-8"?>
<styleSheet xmlns="http://schemas.openxmlformats.org/spreadsheetml/2006/main">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_(&quot;$&quot;* \(#,##0.00\);_(&quot;$&quot;* &quot;-&quot;_);_(@_)"/>
    <numFmt numFmtId="165" formatCode="_(&quot;$&quot;* #,##0.0000_);_(&quot;$&quot;* \(#,##0.0000\);_(&quot;$&quot;* &quot;-&quot;_);_(@_)"/>
  </numFmts>
  <fonts count="1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u/>
      <sz val="11"/>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8" fillId="0" borderId="0" xfId="0" applyNumberFormat="1" applyFont="1"/>
    <xf numFmtId="43" fontId="7" fillId="0" borderId="0" xfId="0" applyNumberFormat="1" applyFont="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25" xfId="0" applyNumberFormat="1" applyFont="1" applyFill="1" applyBorder="1" applyAlignment="1">
      <alignment horizontal="center" wrapText="1"/>
    </xf>
    <xf numFmtId="10" fontId="2" fillId="0" borderId="25" xfId="0" applyNumberFormat="1" applyFont="1" applyBorder="1"/>
    <xf numFmtId="42" fontId="3" fillId="0" borderId="0" xfId="0" applyNumberFormat="1" applyFont="1"/>
    <xf numFmtId="42" fontId="0" fillId="0" borderId="0" xfId="0" applyNumberFormat="1" applyFont="1"/>
    <xf numFmtId="42" fontId="0" fillId="0" borderId="19" xfId="0" applyNumberFormat="1" applyBorder="1"/>
    <xf numFmtId="42" fontId="0" fillId="0" borderId="20" xfId="0" applyNumberFormat="1" applyBorder="1"/>
    <xf numFmtId="42" fontId="0" fillId="0" borderId="22" xfId="0" applyNumberFormat="1" applyBorder="1"/>
    <xf numFmtId="42" fontId="0" fillId="0" borderId="24" xfId="0" applyNumberFormat="1" applyBorder="1"/>
    <xf numFmtId="9" fontId="0" fillId="0" borderId="21" xfId="0" applyNumberFormat="1" applyBorder="1" applyAlignment="1">
      <alignment horizontal="center"/>
    </xf>
    <xf numFmtId="9" fontId="0" fillId="0" borderId="23" xfId="0" applyNumberFormat="1" applyBorder="1" applyAlignment="1">
      <alignment horizontal="center"/>
    </xf>
    <xf numFmtId="42" fontId="9" fillId="0" borderId="0" xfId="0" applyNumberFormat="1" applyFont="1"/>
    <xf numFmtId="0" fontId="3" fillId="0" borderId="26" xfId="0" applyNumberFormat="1" applyFont="1" applyBorder="1" applyAlignment="1">
      <alignment horizontal="center"/>
    </xf>
    <xf numFmtId="42" fontId="2" fillId="0" borderId="27" xfId="0" applyNumberFormat="1" applyFont="1" applyBorder="1"/>
    <xf numFmtId="42" fontId="3" fillId="4" borderId="28" xfId="0" applyNumberFormat="1" applyFont="1" applyFill="1" applyBorder="1" applyAlignment="1">
      <alignment horizontal="center"/>
    </xf>
    <xf numFmtId="42" fontId="3" fillId="4" borderId="29"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0" fillId="4" borderId="25" xfId="0" applyFill="1" applyBorder="1"/>
    <xf numFmtId="0" fontId="3" fillId="0" borderId="0" xfId="0" applyFont="1" applyAlignment="1">
      <alignment horizontal="left" indent="1"/>
    </xf>
    <xf numFmtId="0" fontId="9" fillId="0" borderId="0" xfId="0" applyFont="1" applyAlignment="1">
      <alignment horizontal="left"/>
    </xf>
    <xf numFmtId="6" fontId="2" fillId="0" borderId="1" xfId="0" applyNumberFormat="1" applyFont="1" applyBorder="1"/>
    <xf numFmtId="0" fontId="2" fillId="0" borderId="1" xfId="0" applyFont="1" applyBorder="1"/>
    <xf numFmtId="0" fontId="0" fillId="0" borderId="0" xfId="0" applyFont="1"/>
    <xf numFmtId="10" fontId="0" fillId="2" borderId="5" xfId="1" applyNumberFormat="1" applyFont="1" applyFill="1" applyBorder="1"/>
    <xf numFmtId="10" fontId="0" fillId="2" borderId="8" xfId="1" applyNumberFormat="1" applyFont="1" applyFill="1" applyBorder="1"/>
    <xf numFmtId="0" fontId="3" fillId="0" borderId="2" xfId="0" applyFont="1" applyBorder="1" applyAlignment="1">
      <alignment horizontal="center"/>
    </xf>
    <xf numFmtId="10" fontId="0" fillId="0" borderId="3" xfId="1" applyNumberFormat="1" applyFont="1" applyBorder="1"/>
    <xf numFmtId="0" fontId="5" fillId="0" borderId="0" xfId="0" applyFont="1"/>
    <xf numFmtId="0" fontId="0" fillId="0" borderId="0" xfId="0" applyAlignment="1">
      <alignment horizontal="left" indent="1"/>
    </xf>
    <xf numFmtId="44" fontId="7"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9" fillId="0" borderId="0" xfId="0" applyNumberFormat="1" applyFont="1"/>
    <xf numFmtId="0" fontId="10" fillId="0" borderId="0" xfId="0" applyFont="1"/>
    <xf numFmtId="0" fontId="11" fillId="0" borderId="0" xfId="0" applyFont="1"/>
    <xf numFmtId="43" fontId="12" fillId="0" borderId="0" xfId="0" applyNumberFormat="1" applyFont="1"/>
    <xf numFmtId="43" fontId="0" fillId="0" borderId="0" xfId="2" applyNumberFormat="1" applyFont="1"/>
    <xf numFmtId="43" fontId="6" fillId="0" borderId="0" xfId="0" applyNumberFormat="1" applyFont="1"/>
    <xf numFmtId="43" fontId="12" fillId="0" borderId="0" xfId="2" applyNumberFormat="1" applyFont="1"/>
    <xf numFmtId="43" fontId="7" fillId="0" borderId="0" xfId="2" applyNumberFormat="1" applyFont="1" applyAlignment="1">
      <alignment horizontal="center"/>
    </xf>
    <xf numFmtId="6" fontId="0" fillId="0" borderId="0" xfId="0" quotePrefix="1" applyNumberFormat="1"/>
    <xf numFmtId="6" fontId="0" fillId="4" borderId="25" xfId="0" quotePrefix="1" applyNumberFormat="1" applyFill="1" applyBorder="1"/>
    <xf numFmtId="6" fontId="0" fillId="4" borderId="25" xfId="0" applyNumberFormat="1" applyFill="1" applyBorder="1"/>
    <xf numFmtId="41" fontId="4" fillId="3" borderId="0" xfId="0" applyNumberFormat="1" applyFont="1" applyFill="1" applyAlignment="1">
      <alignment horizontal="center" vertical="center"/>
    </xf>
    <xf numFmtId="43" fontId="3" fillId="0" borderId="18" xfId="0" applyNumberFormat="1" applyFont="1" applyBorder="1" applyAlignment="1">
      <alignment horizontal="center"/>
    </xf>
    <xf numFmtId="0" fontId="5" fillId="0" borderId="11" xfId="0" applyFont="1" applyBorder="1" applyAlignment="1">
      <alignment horizontal="center"/>
    </xf>
    <xf numFmtId="164" fontId="0" fillId="4" borderId="9" xfId="0" applyNumberFormat="1" applyFill="1" applyBorder="1"/>
    <xf numFmtId="164"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2" fontId="3" fillId="0" borderId="11" xfId="0" applyNumberFormat="1" applyFont="1" applyBorder="1" applyAlignment="1">
      <alignment horizontal="center"/>
    </xf>
    <xf numFmtId="0" fontId="0" fillId="0" borderId="0" xfId="0" applyNumberFormat="1" applyAlignment="1">
      <alignment vertical="top" wrapText="1"/>
    </xf>
    <xf numFmtId="0" fontId="6" fillId="0" borderId="0" xfId="0" applyFont="1" applyAlignment="1">
      <alignment horizontal="center"/>
    </xf>
    <xf numFmtId="0" fontId="0" fillId="0" borderId="0" xfId="0" applyAlignment="1">
      <alignment vertical="top" wrapText="1"/>
    </xf>
    <xf numFmtId="8" fontId="0" fillId="4" borderId="9" xfId="0" applyNumberFormat="1" applyFill="1" applyBorder="1"/>
    <xf numFmtId="42" fontId="0" fillId="4" borderId="10" xfId="0" applyNumberFormat="1" applyFill="1" applyBorder="1"/>
    <xf numFmtId="10" fontId="0" fillId="4" borderId="9" xfId="0" applyNumberFormat="1" applyFill="1" applyBorder="1"/>
    <xf numFmtId="10" fontId="0" fillId="4" borderId="10" xfId="0" applyNumberFormat="1" applyFill="1" applyBorder="1"/>
    <xf numFmtId="165" fontId="0" fillId="4" borderId="9" xfId="0" applyNumberFormat="1" applyFill="1" applyBorder="1"/>
    <xf numFmtId="165" fontId="0" fillId="4" borderId="10" xfId="0" applyNumberFormat="1" applyFill="1" applyBorder="1"/>
    <xf numFmtId="44" fontId="0" fillId="4" borderId="9" xfId="0" applyNumberFormat="1" applyFill="1" applyBorder="1"/>
    <xf numFmtId="44" fontId="0" fillId="4" borderId="30" xfId="0" applyNumberFormat="1" applyFill="1" applyBorder="1"/>
    <xf numFmtId="44" fontId="0" fillId="4" borderId="10" xfId="0" applyNumberFormat="1" applyFill="1" applyBorder="1"/>
    <xf numFmtId="44" fontId="0" fillId="0" borderId="9" xfId="0" applyNumberFormat="1" applyBorder="1"/>
    <xf numFmtId="44" fontId="0" fillId="0" borderId="30" xfId="0" applyNumberFormat="1" applyBorder="1"/>
    <xf numFmtId="44" fontId="0" fillId="0" borderId="10" xfId="0" applyNumberFormat="1" applyBorder="1"/>
    <xf numFmtId="43" fontId="13" fillId="0" borderId="0" xfId="0" applyNumberFormat="1" applyFont="1"/>
    <xf numFmtId="43" fontId="13" fillId="0" borderId="0" xfId="2" applyNumberFormat="1" applyFont="1"/>
  </cellXfs>
  <cellStyles count="3">
    <cellStyle name="Comma" xfId="2" builtinId="3"/>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smoothMarker"/>
        <c:ser>
          <c:idx val="0"/>
          <c:order val="0"/>
          <c:marker>
            <c:symbol val="none"/>
          </c:marker>
          <c:xVal>
            <c:numRef>
              <c:f>'P2-20 Pts'!$C$33:$C$47</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'P2-20 Pts'!$D$33:$D$47</c:f>
              <c:numCache>
                <c:formatCode>_("$"* #,##0_);_("$"* \(#,##0\);_("$"* "-"_);_(@_)</c:formatCode>
                <c:ptCount val="15"/>
                <c:pt idx="0">
                  <c:v>7800</c:v>
                </c:pt>
                <c:pt idx="1">
                  <c:v>6377.6735258968838</c:v>
                </c:pt>
                <c:pt idx="2">
                  <c:v>5097.6426581075575</c:v>
                </c:pt>
                <c:pt idx="3">
                  <c:v>3942.4649780754735</c:v>
                </c:pt>
                <c:pt idx="4">
                  <c:v>2897.1733732956964</c:v>
                </c:pt>
                <c:pt idx="5">
                  <c:v>1948.881523131291</c:v>
                </c:pt>
                <c:pt idx="6">
                  <c:v>1086.4586466134788</c:v>
                </c:pt>
                <c:pt idx="7">
                  <c:v>300.26029920052679</c:v>
                </c:pt>
                <c:pt idx="8">
                  <c:v>-1075.9136791334367</c:v>
                </c:pt>
                <c:pt idx="9">
                  <c:v>-1679.5803326474615</c:v>
                </c:pt>
                <c:pt idx="10">
                  <c:v>-2234.6915820288159</c:v>
                </c:pt>
                <c:pt idx="11">
                  <c:v>-2746.1650325256524</c:v>
                </c:pt>
                <c:pt idx="12">
                  <c:v>-3218.3328289075744</c:v>
                </c:pt>
                <c:pt idx="13">
                  <c:v>-3655.0207179971039</c:v>
                </c:pt>
                <c:pt idx="14">
                  <c:v>-4059.6152654890629</c:v>
                </c:pt>
              </c:numCache>
            </c:numRef>
          </c:yVal>
          <c:smooth val="1"/>
        </c:ser>
        <c:axId val="54905856"/>
        <c:axId val="54907648"/>
      </c:scatterChart>
      <c:valAx>
        <c:axId val="54905856"/>
        <c:scaling>
          <c:orientation val="minMax"/>
        </c:scaling>
        <c:axPos val="b"/>
        <c:numFmt formatCode="0%" sourceLinked="1"/>
        <c:tickLblPos val="nextTo"/>
        <c:crossAx val="54907648"/>
        <c:crosses val="autoZero"/>
        <c:crossBetween val="midCat"/>
      </c:valAx>
      <c:valAx>
        <c:axId val="54907648"/>
        <c:scaling>
          <c:orientation val="minMax"/>
        </c:scaling>
        <c:axPos val="l"/>
        <c:majorGridlines/>
        <c:numFmt formatCode="_(&quot;$&quot;* #,##0_);_(&quot;$&quot;* \(#,##0\);_(&quot;$&quot;* &quot;-&quot;_);_(@_)" sourceLinked="1"/>
        <c:tickLblPos val="nextTo"/>
        <c:crossAx val="54905856"/>
        <c:crosses val="autoZero"/>
        <c:crossBetween val="midCat"/>
      </c:valAx>
    </c:plotArea>
    <c:plotVisOnly val="1"/>
  </c:chart>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302613</xdr:colOff>
      <xdr:row>0</xdr:row>
      <xdr:rowOff>152814</xdr:rowOff>
    </xdr:from>
    <xdr:to>
      <xdr:col>11</xdr:col>
      <xdr:colOff>637761</xdr:colOff>
      <xdr:row>25</xdr:row>
      <xdr:rowOff>120650</xdr:rowOff>
    </xdr:to>
    <xdr:sp macro="" textlink="">
      <xdr:nvSpPr>
        <xdr:cNvPr id="2" name="TextBox 1"/>
        <xdr:cNvSpPr txBox="1"/>
      </xdr:nvSpPr>
      <xdr:spPr>
        <a:xfrm>
          <a:off x="302613" y="152814"/>
          <a:ext cx="7059798" cy="46414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2 years old, originally had an expected life of 6 years, is being depreciated using as a 3-year MACRS asset from its purchase price of $25,000. It can be sold now for $1,200. </a:t>
          </a:r>
          <a:r>
            <a:rPr lang="en-US" sz="1100" b="0" baseline="0"/>
            <a:t>If the old machine is used for 4 more years instead of being replaced now, it is expected to have zero residual value at that time.</a:t>
          </a:r>
        </a:p>
        <a:p>
          <a:endParaRPr lang="en-US" sz="1100" baseline="0"/>
        </a:p>
        <a:p>
          <a:r>
            <a:rPr lang="en-US" sz="1100" baseline="0"/>
            <a:t>The annual costs of maintenance and defects on the old machine are $10,400 and $4,250 respectively. The replacement machine being considered has a purchase price of </a:t>
          </a:r>
          <a:r>
            <a:rPr lang="en-US" sz="1100" b="0" baseline="0"/>
            <a:t>$30,000 </a:t>
          </a:r>
          <a:r>
            <a:rPr lang="en-US" sz="1100" baseline="0"/>
            <a:t>and an expected salvage value of $15,000 at the end of its 4-year life. There will also be shipping and installation expenses of $2,400. Because the new machine would be more efficient, the constant investment in raw materials would decrease by a total of $5,750 from the current level with the old machine. The company expects that annual maintenance costs on the new machine will be $3,000 while defects will cost $2,500. </a:t>
          </a:r>
          <a:r>
            <a:rPr lang="en-US" sz="1100" b="0" baseline="0"/>
            <a:t>The new machine will be depreciated as a 3-year MACRS-class asset. </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$3,500 and determined that existing facilities could support this new machine with no other changes. In order to purchase the new machine, the company would have to take on new debt of $30,000 at 10% interest, resulting in increased interest expense of $3,000 per year. The required rate of return for this project is 12% and the company's marginal tax rate is 34%. </a:t>
          </a:r>
        </a:p>
        <a:p>
          <a:endParaRPr lang="en-US" sz="1100" baseline="0"/>
        </a:p>
        <a:p>
          <a:r>
            <a:rPr lang="en-US" sz="1100" baseline="0"/>
            <a:t>Use the space below to compute the initial outlay, the annual cash flows, and the terminal cash flows for this project. </a:t>
          </a:r>
          <a:r>
            <a:rPr lang="en-US" sz="1100" b="1" baseline="0"/>
            <a:t>The only inputs that need to be linked to your computations are the ones shown.  All other numbers can be entered straight into your formulas but all calculations need to done in the formulas. </a:t>
          </a:r>
          <a:r>
            <a:rPr lang="en-US" sz="1100" baseline="0"/>
            <a:t>The MACRS depreciation percentages are in the table to the right. </a:t>
          </a:r>
          <a:r>
            <a:rPr lang="en-US" sz="1100" b="1" baseline="0"/>
            <a:t>You do not need to do any lookup functions, and the model only needs to work for this time period and for this depreciation type. </a:t>
          </a:r>
          <a:r>
            <a:rPr lang="en-US" sz="1100" baseline="0"/>
            <a:t>Show all computations. Label all entries appropriately.  </a:t>
          </a:r>
          <a:r>
            <a:rPr lang="en-US" sz="1100" b="1" baseline="0"/>
            <a:t>THE NUMBER RESULTS ARE WHAT IS IMPORTANT, NOT THE FORMATTING. YOU CAN SET THIS UP ANY WAY THAT YOU WANT AS LONG AS THE 5 TOTAL CASH FLOWS GET COMPUTED CORRECTLY AND THEY ADJUST CORRECTLY TO THE INPUTS SHOWN.</a:t>
          </a: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419652</xdr:colOff>
      <xdr:row>47</xdr:row>
      <xdr:rowOff>77305</xdr:rowOff>
    </xdr:from>
    <xdr:to>
      <xdr:col>7</xdr:col>
      <xdr:colOff>447260</xdr:colOff>
      <xdr:row>62</xdr:row>
      <xdr:rowOff>88348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B1:B25"/>
  <sheetViews>
    <sheetView workbookViewId="0">
      <selection activeCell="A2" sqref="A2"/>
    </sheetView>
  </sheetViews>
  <sheetFormatPr defaultColWidth="8.7265625" defaultRowHeight="14.5"/>
  <cols>
    <col min="1" max="1" width="4.453125" style="15" customWidth="1"/>
    <col min="2" max="16384" width="8.7265625" style="15"/>
  </cols>
  <sheetData>
    <row r="1" spans="2:2" ht="10" customHeight="1"/>
    <row r="2" spans="2:2" ht="19.5" customHeight="1">
      <c r="B2" s="81" t="s">
        <v>79</v>
      </c>
    </row>
    <row r="3" spans="2:2" ht="19.5" customHeight="1">
      <c r="B3" s="81" t="s">
        <v>80</v>
      </c>
    </row>
    <row r="4" spans="2:2" ht="19.5" customHeight="1">
      <c r="B4" s="81" t="s">
        <v>81</v>
      </c>
    </row>
    <row r="5" spans="2:2" ht="7" customHeight="1">
      <c r="B5" s="81"/>
    </row>
    <row r="6" spans="2:2" ht="19.5" customHeight="1">
      <c r="B6" s="81" t="s">
        <v>82</v>
      </c>
    </row>
    <row r="7" spans="2:2" ht="19.5" customHeight="1">
      <c r="B7" s="81" t="s">
        <v>83</v>
      </c>
    </row>
    <row r="8" spans="2:2" ht="19.5" customHeight="1">
      <c r="B8" s="81" t="s">
        <v>84</v>
      </c>
    </row>
    <row r="9" spans="2:2" ht="4.5" customHeight="1">
      <c r="B9" s="81"/>
    </row>
    <row r="10" spans="2:2" ht="19.5" customHeight="1">
      <c r="B10" s="81" t="s">
        <v>85</v>
      </c>
    </row>
    <row r="11" spans="2:2" ht="19.5" customHeight="1">
      <c r="B11" s="81" t="s">
        <v>86</v>
      </c>
    </row>
    <row r="12" spans="2:2" ht="3.65" customHeight="1">
      <c r="B12" s="81"/>
    </row>
    <row r="13" spans="2:2" ht="19.5" customHeight="1">
      <c r="B13" s="81" t="s">
        <v>87</v>
      </c>
    </row>
    <row r="14" spans="2:2" ht="13.5" customHeight="1">
      <c r="B14" s="81"/>
    </row>
    <row r="15" spans="2:2" ht="16.5" customHeight="1">
      <c r="B15" s="15" t="s">
        <v>90</v>
      </c>
    </row>
    <row r="16" spans="2:2" ht="18" customHeight="1">
      <c r="B16" s="81" t="s">
        <v>91</v>
      </c>
    </row>
    <row r="17" spans="2:2" ht="16.5" customHeight="1">
      <c r="B17" s="15" t="s">
        <v>88</v>
      </c>
    </row>
    <row r="18" spans="2:2" ht="16.5" customHeight="1">
      <c r="B18" s="15" t="s">
        <v>92</v>
      </c>
    </row>
    <row r="19" spans="2:2" ht="16.5" customHeight="1"/>
    <row r="20" spans="2:2" ht="16.5" customHeight="1">
      <c r="B20" s="15" t="s">
        <v>93</v>
      </c>
    </row>
    <row r="21" spans="2:2" ht="16.5" customHeight="1">
      <c r="B21" s="15" t="s">
        <v>94</v>
      </c>
    </row>
    <row r="22" spans="2:2" ht="8.15" customHeight="1"/>
    <row r="23" spans="2:2" ht="18.5">
      <c r="B23" s="81" t="s">
        <v>89</v>
      </c>
    </row>
    <row r="24" spans="2:2" ht="21">
      <c r="B24" s="82" t="s">
        <v>95</v>
      </c>
    </row>
    <row r="25" spans="2:2" ht="21">
      <c r="B25" s="82" t="s">
        <v>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8:AJ166"/>
  <sheetViews>
    <sheetView tabSelected="1" zoomScale="85" zoomScaleNormal="85" workbookViewId="0">
      <selection activeCell="E49" sqref="E49"/>
    </sheetView>
  </sheetViews>
  <sheetFormatPr defaultRowHeight="14.5"/>
  <cols>
    <col min="1" max="1" width="4.453125" customWidth="1"/>
    <col min="2" max="2" width="9.08984375" bestFit="1" customWidth="1"/>
    <col min="4" max="4" width="12.26953125" customWidth="1"/>
    <col min="5" max="5" width="11.7265625" bestFit="1" customWidth="1"/>
    <col min="7" max="7" width="18" customWidth="1"/>
    <col min="8" max="8" width="0.54296875" customWidth="1"/>
    <col min="9" max="12" width="10.7265625" customWidth="1"/>
  </cols>
  <sheetData>
    <row r="8" spans="13:17" ht="19" thickBot="1">
      <c r="M8" s="93" t="s">
        <v>0</v>
      </c>
      <c r="N8" s="93"/>
      <c r="O8" s="93"/>
      <c r="P8" s="93"/>
      <c r="Q8" s="93"/>
    </row>
    <row r="9" spans="13:17" ht="15" thickBot="1">
      <c r="M9" s="9" t="s">
        <v>1</v>
      </c>
      <c r="N9" s="10" t="s">
        <v>2</v>
      </c>
      <c r="O9" s="10" t="s">
        <v>3</v>
      </c>
      <c r="P9" s="10" t="s">
        <v>4</v>
      </c>
      <c r="Q9" s="11" t="s">
        <v>5</v>
      </c>
    </row>
    <row r="10" spans="13:17">
      <c r="M10" s="6">
        <v>1</v>
      </c>
      <c r="N10" s="7">
        <v>0.33329999999999999</v>
      </c>
      <c r="O10" s="7">
        <v>0.2</v>
      </c>
      <c r="P10" s="7">
        <v>0.1429</v>
      </c>
      <c r="Q10" s="8">
        <v>0.1</v>
      </c>
    </row>
    <row r="11" spans="13:17">
      <c r="M11" s="2">
        <v>2</v>
      </c>
      <c r="N11" s="1">
        <v>0.44450000000000001</v>
      </c>
      <c r="O11" s="1">
        <v>0.32</v>
      </c>
      <c r="P11" s="1">
        <v>0.24490000000000001</v>
      </c>
      <c r="Q11" s="3">
        <v>0.18</v>
      </c>
    </row>
    <row r="12" spans="13:17">
      <c r="M12" s="2">
        <v>3</v>
      </c>
      <c r="N12" s="1">
        <v>0.14810000000000001</v>
      </c>
      <c r="O12" s="1">
        <v>0.192</v>
      </c>
      <c r="P12" s="1">
        <v>0.1749</v>
      </c>
      <c r="Q12" s="3">
        <v>0.14399999999999999</v>
      </c>
    </row>
    <row r="13" spans="13:17">
      <c r="M13" s="2">
        <v>4</v>
      </c>
      <c r="N13" s="1">
        <v>7.4099999999999999E-2</v>
      </c>
      <c r="O13" s="1">
        <v>0.1152</v>
      </c>
      <c r="P13" s="1">
        <v>0.1249</v>
      </c>
      <c r="Q13" s="3">
        <v>0.1152</v>
      </c>
    </row>
    <row r="14" spans="13:17">
      <c r="M14" s="2">
        <v>5</v>
      </c>
      <c r="N14" s="12"/>
      <c r="O14" s="1">
        <v>0.1152</v>
      </c>
      <c r="P14" s="1">
        <v>8.9300000000000004E-2</v>
      </c>
      <c r="Q14" s="3">
        <v>9.2200000000000004E-2</v>
      </c>
    </row>
    <row r="15" spans="13:17">
      <c r="M15" s="2">
        <v>6</v>
      </c>
      <c r="N15" s="12"/>
      <c r="O15" s="1">
        <v>5.7599999999999998E-2</v>
      </c>
      <c r="P15" s="1">
        <v>8.9200000000000002E-2</v>
      </c>
      <c r="Q15" s="3">
        <v>7.3700000000000002E-2</v>
      </c>
    </row>
    <row r="16" spans="13:17">
      <c r="M16" s="2">
        <v>7</v>
      </c>
      <c r="N16" s="12"/>
      <c r="O16" s="12"/>
      <c r="P16" s="1">
        <v>8.9300000000000004E-2</v>
      </c>
      <c r="Q16" s="3">
        <v>6.5500000000000003E-2</v>
      </c>
    </row>
    <row r="17" spans="1:36">
      <c r="M17" s="2">
        <v>8</v>
      </c>
      <c r="N17" s="12"/>
      <c r="O17" s="12"/>
      <c r="P17" s="1">
        <v>4.4600000000000001E-2</v>
      </c>
      <c r="Q17" s="3">
        <v>6.5500000000000003E-2</v>
      </c>
    </row>
    <row r="18" spans="1:36">
      <c r="M18" s="2">
        <v>9</v>
      </c>
      <c r="N18" s="12"/>
      <c r="O18" s="12"/>
      <c r="P18" s="12"/>
      <c r="Q18" s="3">
        <v>6.5600000000000006E-2</v>
      </c>
    </row>
    <row r="19" spans="1:36">
      <c r="M19" s="2">
        <v>10</v>
      </c>
      <c r="N19" s="12"/>
      <c r="O19" s="12"/>
      <c r="P19" s="12"/>
      <c r="Q19" s="3">
        <v>6.5500000000000003E-2</v>
      </c>
    </row>
    <row r="20" spans="1:36" ht="15" thickBot="1">
      <c r="M20" s="4">
        <v>11</v>
      </c>
      <c r="N20" s="13"/>
      <c r="O20" s="13"/>
      <c r="P20" s="13"/>
      <c r="Q20" s="5">
        <v>3.2800000000000003E-2</v>
      </c>
    </row>
    <row r="26" spans="1:36" s="15" customFormat="1"/>
    <row r="27" spans="1:36" ht="21">
      <c r="A27" s="14"/>
      <c r="B27" s="91" t="s">
        <v>6</v>
      </c>
      <c r="C27" s="91"/>
      <c r="D27" s="91"/>
      <c r="E27" s="91"/>
      <c r="F27" s="91"/>
      <c r="G27" s="91"/>
      <c r="H27" s="91"/>
      <c r="I27" s="91"/>
      <c r="J27" s="91"/>
      <c r="K27" s="91"/>
      <c r="L27" s="91"/>
      <c r="M27" s="14"/>
      <c r="N27" s="14"/>
      <c r="O27" s="14"/>
      <c r="P27" s="14"/>
      <c r="Q27" s="14"/>
      <c r="R27" s="14"/>
      <c r="S27" s="14"/>
      <c r="T27" s="14"/>
      <c r="U27" s="14"/>
      <c r="V27" s="14"/>
      <c r="W27" s="14"/>
      <c r="X27" s="14"/>
      <c r="Y27" s="14"/>
      <c r="Z27" s="14"/>
      <c r="AA27" s="14"/>
      <c r="AB27" s="14"/>
      <c r="AC27" s="14"/>
      <c r="AD27" s="14"/>
      <c r="AE27" s="14"/>
      <c r="AF27" s="14"/>
      <c r="AG27" s="14"/>
      <c r="AH27" s="14"/>
      <c r="AI27" s="14"/>
      <c r="AJ27" s="14"/>
    </row>
    <row r="28" spans="1:36">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row>
    <row r="29" spans="1:36">
      <c r="A29" s="14"/>
      <c r="B29" s="17" t="s">
        <v>7</v>
      </c>
      <c r="C29" s="17"/>
      <c r="D29" s="17"/>
      <c r="E29" s="17"/>
      <c r="F29" s="17" t="s">
        <v>8</v>
      </c>
      <c r="G29" s="17"/>
      <c r="H29" s="36"/>
      <c r="I29" s="17"/>
      <c r="J29" s="17" t="s">
        <v>13</v>
      </c>
      <c r="K29" s="15"/>
      <c r="M29" s="14"/>
      <c r="N29" s="14"/>
      <c r="O29" s="14"/>
      <c r="P29" s="14"/>
      <c r="Q29" s="14"/>
      <c r="R29" s="14"/>
      <c r="S29" s="14"/>
      <c r="T29" s="14"/>
      <c r="U29" s="14"/>
      <c r="V29" s="14"/>
      <c r="W29" s="14"/>
      <c r="X29" s="14"/>
      <c r="Y29" s="14"/>
      <c r="Z29" s="14"/>
      <c r="AA29" s="14"/>
      <c r="AB29" s="14"/>
      <c r="AC29" s="14"/>
      <c r="AD29" s="14"/>
      <c r="AE29" s="14"/>
      <c r="AF29" s="14"/>
      <c r="AG29" s="14"/>
      <c r="AH29" s="14"/>
      <c r="AI29" s="14"/>
      <c r="AJ29" s="14"/>
    </row>
    <row r="30" spans="1:36">
      <c r="A30" s="14"/>
      <c r="B30" s="18" t="s">
        <v>9</v>
      </c>
      <c r="E30" s="20">
        <v>25000</v>
      </c>
      <c r="F30" s="18" t="s">
        <v>9</v>
      </c>
      <c r="I30" s="20">
        <v>30000</v>
      </c>
      <c r="J30" s="18" t="s">
        <v>14</v>
      </c>
      <c r="K30" s="15"/>
      <c r="L30" s="35">
        <v>0.34</v>
      </c>
      <c r="M30" s="14"/>
      <c r="N30" s="14"/>
      <c r="O30" s="14"/>
      <c r="P30" s="14"/>
      <c r="Q30" s="14"/>
      <c r="R30" s="14"/>
      <c r="S30" s="14"/>
      <c r="T30" s="14"/>
      <c r="U30" s="14"/>
      <c r="V30" s="14"/>
      <c r="W30" s="14"/>
      <c r="X30" s="14"/>
      <c r="Y30" s="14"/>
      <c r="Z30" s="14"/>
      <c r="AA30" s="14"/>
      <c r="AB30" s="14"/>
      <c r="AC30" s="14"/>
      <c r="AD30" s="14"/>
      <c r="AE30" s="14"/>
      <c r="AF30" s="14"/>
      <c r="AG30" s="14"/>
      <c r="AH30" s="14"/>
      <c r="AI30" s="14"/>
      <c r="AJ30" s="14"/>
    </row>
    <row r="31" spans="1:36">
      <c r="A31" s="14"/>
      <c r="B31" s="18" t="s">
        <v>10</v>
      </c>
      <c r="E31" s="20">
        <v>1200</v>
      </c>
      <c r="F31" s="18" t="s">
        <v>11</v>
      </c>
      <c r="I31" s="20">
        <v>2400</v>
      </c>
      <c r="J31" s="18" t="s">
        <v>16</v>
      </c>
      <c r="L31" s="35">
        <v>0.12</v>
      </c>
      <c r="M31" s="14"/>
      <c r="N31" s="14"/>
      <c r="O31" s="14"/>
      <c r="P31" s="14"/>
      <c r="Q31" s="14"/>
      <c r="R31" s="14"/>
      <c r="S31" s="14"/>
      <c r="T31" s="14"/>
      <c r="U31" s="14"/>
      <c r="V31" s="14"/>
      <c r="W31" s="14"/>
      <c r="X31" s="14"/>
      <c r="Y31" s="14"/>
      <c r="Z31" s="14"/>
      <c r="AA31" s="14"/>
      <c r="AB31" s="14"/>
      <c r="AC31" s="14"/>
      <c r="AD31" s="14"/>
      <c r="AE31" s="14"/>
      <c r="AF31" s="14"/>
      <c r="AG31" s="14"/>
      <c r="AH31" s="14"/>
      <c r="AI31" s="14"/>
      <c r="AJ31" s="14"/>
    </row>
    <row r="32" spans="1:36">
      <c r="A32" s="14"/>
      <c r="B32" s="18" t="s">
        <v>15</v>
      </c>
      <c r="E32" s="20">
        <v>0</v>
      </c>
      <c r="F32" s="18" t="s">
        <v>15</v>
      </c>
      <c r="I32" s="20">
        <v>15000</v>
      </c>
      <c r="J32" s="16"/>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row>
    <row r="33" spans="1:36">
      <c r="A33" s="14"/>
      <c r="B33" s="18" t="s">
        <v>12</v>
      </c>
      <c r="E33" s="20">
        <v>14650</v>
      </c>
      <c r="F33" s="18" t="s">
        <v>12</v>
      </c>
      <c r="I33" s="20">
        <v>5500</v>
      </c>
      <c r="J33" s="16"/>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row>
    <row r="34" spans="1:36">
      <c r="A34" s="14"/>
      <c r="B34" s="16"/>
      <c r="E34" s="20"/>
      <c r="J34" s="16"/>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1:36" ht="21">
      <c r="A35" s="14"/>
      <c r="B35" s="91" t="s">
        <v>17</v>
      </c>
      <c r="C35" s="91"/>
      <c r="D35" s="91"/>
      <c r="E35" s="91"/>
      <c r="F35" s="91"/>
      <c r="G35" s="91"/>
      <c r="H35" s="91"/>
      <c r="I35" s="91"/>
      <c r="J35" s="91"/>
      <c r="K35" s="91"/>
      <c r="L35" s="91"/>
      <c r="M35" s="14"/>
      <c r="N35" s="14"/>
      <c r="O35" s="14"/>
      <c r="P35" s="14"/>
      <c r="Q35" s="14"/>
      <c r="R35" s="14"/>
      <c r="S35" s="14"/>
      <c r="T35" s="14"/>
      <c r="U35" s="14"/>
      <c r="V35" s="14"/>
      <c r="W35" s="14"/>
      <c r="X35" s="14"/>
      <c r="Y35" s="14"/>
      <c r="Z35" s="14"/>
      <c r="AA35" s="14"/>
      <c r="AB35" s="14"/>
      <c r="AC35" s="14"/>
      <c r="AD35" s="14"/>
      <c r="AE35" s="14"/>
      <c r="AF35" s="14"/>
      <c r="AG35" s="14"/>
      <c r="AH35" s="14"/>
      <c r="AI35" s="14"/>
      <c r="AJ35" s="14"/>
    </row>
    <row r="36" spans="1:36" ht="9.75" customHeight="1">
      <c r="A36" s="14"/>
      <c r="E36" s="15"/>
      <c r="F36" s="15"/>
      <c r="G36" s="15"/>
      <c r="H36" s="15"/>
      <c r="I36" s="15"/>
      <c r="J36" s="15"/>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row>
    <row r="37" spans="1:36" s="14" customFormat="1">
      <c r="B37" s="92" t="s">
        <v>18</v>
      </c>
      <c r="C37" s="92"/>
      <c r="D37" s="92"/>
      <c r="E37" s="92"/>
      <c r="G37" s="92" t="s">
        <v>23</v>
      </c>
      <c r="H37" s="92"/>
      <c r="I37" s="92"/>
      <c r="J37" s="92"/>
      <c r="K37" s="92"/>
      <c r="L37" s="92"/>
    </row>
    <row r="38" spans="1:36" s="14" customFormat="1" ht="17.5">
      <c r="B38" s="14" t="s">
        <v>108</v>
      </c>
      <c r="E38" s="14">
        <f>-I30</f>
        <v>-30000</v>
      </c>
      <c r="I38" s="37" t="s">
        <v>19</v>
      </c>
      <c r="J38" s="37" t="s">
        <v>20</v>
      </c>
      <c r="K38" s="37" t="s">
        <v>21</v>
      </c>
      <c r="L38" s="37" t="s">
        <v>22</v>
      </c>
    </row>
    <row r="39" spans="1:36" s="14" customFormat="1">
      <c r="B39" s="14" t="s">
        <v>109</v>
      </c>
      <c r="E39" s="14">
        <f>-I31</f>
        <v>-2400</v>
      </c>
      <c r="G39" s="14" t="s">
        <v>105</v>
      </c>
      <c r="I39" s="84">
        <f>$I$30*0.3333</f>
        <v>9999</v>
      </c>
      <c r="J39" s="84">
        <f>$I$30*0.4445</f>
        <v>13335</v>
      </c>
      <c r="K39" s="84">
        <f>$I$30*0.1481</f>
        <v>4443</v>
      </c>
      <c r="L39" s="84">
        <f>$I$30*0.0741</f>
        <v>2223</v>
      </c>
    </row>
    <row r="40" spans="1:36" s="14" customFormat="1" ht="16">
      <c r="B40" s="14" t="s">
        <v>115</v>
      </c>
      <c r="E40" s="14">
        <v>5750</v>
      </c>
      <c r="G40" s="85" t="s">
        <v>104</v>
      </c>
      <c r="I40" s="86">
        <f>0.1481*25000</f>
        <v>3702.5000000000005</v>
      </c>
      <c r="J40" s="86">
        <f>0.0741*25000</f>
        <v>1852.5</v>
      </c>
      <c r="K40" s="86">
        <v>0</v>
      </c>
      <c r="L40" s="86">
        <v>0</v>
      </c>
    </row>
    <row r="41" spans="1:36" s="14" customFormat="1">
      <c r="B41" s="14" t="s">
        <v>100</v>
      </c>
      <c r="E41" s="14">
        <v>1200</v>
      </c>
      <c r="G41" s="14" t="s">
        <v>106</v>
      </c>
      <c r="I41" s="84">
        <f>I39-I40</f>
        <v>6296.5</v>
      </c>
      <c r="J41" s="84">
        <f t="shared" ref="J41:L41" si="0">J39-J40</f>
        <v>11482.5</v>
      </c>
      <c r="K41" s="84">
        <f t="shared" si="0"/>
        <v>4443</v>
      </c>
      <c r="L41" s="84">
        <f t="shared" si="0"/>
        <v>2223</v>
      </c>
    </row>
    <row r="42" spans="1:36" s="14" customFormat="1">
      <c r="B42" s="14" t="s">
        <v>101</v>
      </c>
      <c r="D42" s="14">
        <v>5555</v>
      </c>
      <c r="I42" s="84"/>
      <c r="J42" s="84"/>
      <c r="K42" s="84"/>
      <c r="L42" s="84"/>
    </row>
    <row r="43" spans="1:36" s="14" customFormat="1">
      <c r="B43" s="14" t="s">
        <v>102</v>
      </c>
      <c r="D43" s="14">
        <f>D42-E41</f>
        <v>4355</v>
      </c>
      <c r="G43" s="14" t="s">
        <v>103</v>
      </c>
      <c r="I43" s="84">
        <f>E33-I33</f>
        <v>9150</v>
      </c>
      <c r="J43" s="84">
        <f>I43</f>
        <v>9150</v>
      </c>
      <c r="K43" s="84">
        <f t="shared" ref="K43:L43" si="1">J43</f>
        <v>9150</v>
      </c>
      <c r="L43" s="84">
        <f t="shared" si="1"/>
        <v>9150</v>
      </c>
    </row>
    <row r="44" spans="1:36" s="14" customFormat="1" ht="16">
      <c r="B44" s="14" t="s">
        <v>116</v>
      </c>
      <c r="E44" s="83">
        <f>D43*0.34</f>
        <v>1480.7</v>
      </c>
      <c r="G44" s="83" t="s">
        <v>107</v>
      </c>
      <c r="I44" s="86">
        <f>-I41</f>
        <v>-6296.5</v>
      </c>
      <c r="J44" s="86">
        <f>-J41</f>
        <v>-11482.5</v>
      </c>
      <c r="K44" s="86">
        <f t="shared" ref="K44:L44" si="2">-K41</f>
        <v>-4443</v>
      </c>
      <c r="L44" s="86">
        <f t="shared" si="2"/>
        <v>-2223</v>
      </c>
    </row>
    <row r="45" spans="1:36" s="14" customFormat="1">
      <c r="B45" s="14" t="s">
        <v>117</v>
      </c>
      <c r="C45" s="114"/>
      <c r="D45" s="114"/>
      <c r="E45" s="114">
        <f>SUM(E38:E44)</f>
        <v>-23969.3</v>
      </c>
      <c r="G45" s="14" t="s">
        <v>110</v>
      </c>
      <c r="I45" s="84">
        <f>SUM(I43:I44)</f>
        <v>2853.5</v>
      </c>
      <c r="J45" s="84">
        <f>SUM(J43:J44)</f>
        <v>-2332.5</v>
      </c>
      <c r="K45" s="84">
        <f t="shared" ref="K45:L45" si="3">SUM(K43:K44)</f>
        <v>4707</v>
      </c>
      <c r="L45" s="84">
        <f t="shared" si="3"/>
        <v>6927</v>
      </c>
    </row>
    <row r="46" spans="1:36" s="14" customFormat="1" ht="16">
      <c r="G46" s="83" t="s">
        <v>111</v>
      </c>
      <c r="I46" s="86">
        <f>-I45*0.34</f>
        <v>-970.19</v>
      </c>
      <c r="J46" s="86">
        <f>-J45*0.34</f>
        <v>793.05000000000007</v>
      </c>
      <c r="K46" s="86">
        <f t="shared" ref="K46:L46" si="4">-K45*0.34</f>
        <v>-1600.38</v>
      </c>
      <c r="L46" s="86">
        <f t="shared" si="4"/>
        <v>-2355.1800000000003</v>
      </c>
    </row>
    <row r="47" spans="1:36" s="14" customFormat="1">
      <c r="G47" s="14" t="s">
        <v>112</v>
      </c>
      <c r="I47" s="84">
        <f>SUM(I45:I46)</f>
        <v>1883.31</v>
      </c>
      <c r="J47" s="84">
        <f>SUM(J45:J46)</f>
        <v>-1539.4499999999998</v>
      </c>
      <c r="K47" s="84">
        <f t="shared" ref="K47:L47" si="5">SUM(K45:K46)</f>
        <v>3106.62</v>
      </c>
      <c r="L47" s="84">
        <f t="shared" si="5"/>
        <v>4571.82</v>
      </c>
    </row>
    <row r="48" spans="1:36" s="14" customFormat="1" ht="16">
      <c r="G48" s="83" t="s">
        <v>113</v>
      </c>
      <c r="I48" s="86">
        <f>-I44</f>
        <v>6296.5</v>
      </c>
      <c r="J48" s="86">
        <f>-J44</f>
        <v>11482.5</v>
      </c>
      <c r="K48" s="86">
        <f t="shared" ref="K48:L48" si="6">-K44</f>
        <v>4443</v>
      </c>
      <c r="L48" s="86">
        <f t="shared" si="6"/>
        <v>2223</v>
      </c>
    </row>
    <row r="49" spans="7:12" s="14" customFormat="1">
      <c r="G49" s="14" t="s">
        <v>114</v>
      </c>
      <c r="I49" s="84">
        <f>SUM(I47:I48)</f>
        <v>8179.8099999999995</v>
      </c>
      <c r="J49" s="84">
        <f>SUM(J47:J48)</f>
        <v>9943.0499999999993</v>
      </c>
      <c r="K49" s="84">
        <f t="shared" ref="K49:L49" si="7">SUM(K47:K48)</f>
        <v>7549.62</v>
      </c>
      <c r="L49" s="84">
        <f t="shared" si="7"/>
        <v>6794.82</v>
      </c>
    </row>
    <row r="50" spans="7:12" s="14" customFormat="1">
      <c r="G50" s="14" t="s">
        <v>118</v>
      </c>
      <c r="I50" s="84">
        <v>0</v>
      </c>
      <c r="J50" s="84">
        <v>0</v>
      </c>
      <c r="K50" s="84">
        <v>0</v>
      </c>
      <c r="L50" s="84">
        <f>-E40</f>
        <v>-5750</v>
      </c>
    </row>
    <row r="51" spans="7:12" s="14" customFormat="1" ht="16">
      <c r="G51" s="14" t="s">
        <v>127</v>
      </c>
      <c r="I51" s="86">
        <v>0</v>
      </c>
      <c r="J51" s="86">
        <v>0</v>
      </c>
      <c r="K51" s="86">
        <v>0</v>
      </c>
      <c r="L51" s="86">
        <f>K59</f>
        <v>9900</v>
      </c>
    </row>
    <row r="52" spans="7:12" s="14" customFormat="1">
      <c r="G52" s="114" t="s">
        <v>128</v>
      </c>
      <c r="H52" s="114"/>
      <c r="I52" s="115">
        <f>SUM(I49:I51)</f>
        <v>8179.8099999999995</v>
      </c>
      <c r="J52" s="115">
        <f>SUM(J49:J51)</f>
        <v>9943.0499999999993</v>
      </c>
      <c r="K52" s="115">
        <f>SUM(K49:K51)</f>
        <v>7549.62</v>
      </c>
      <c r="L52" s="115">
        <f>SUM(L49:L51)</f>
        <v>10944.82</v>
      </c>
    </row>
    <row r="53" spans="7:12" s="14" customFormat="1">
      <c r="I53" s="84"/>
      <c r="K53" s="84"/>
      <c r="L53" s="84"/>
    </row>
    <row r="54" spans="7:12" s="14" customFormat="1" ht="17.5">
      <c r="I54" s="87" t="s">
        <v>119</v>
      </c>
      <c r="J54" s="87" t="s">
        <v>120</v>
      </c>
      <c r="K54" s="87" t="s">
        <v>126</v>
      </c>
      <c r="L54" s="84"/>
    </row>
    <row r="55" spans="7:12" s="14" customFormat="1">
      <c r="G55" s="14" t="s">
        <v>121</v>
      </c>
      <c r="I55" s="84">
        <f>I32</f>
        <v>15000</v>
      </c>
      <c r="J55" s="84">
        <v>0</v>
      </c>
      <c r="K55" s="84"/>
      <c r="L55" s="84"/>
    </row>
    <row r="56" spans="7:12" s="14" customFormat="1" ht="16">
      <c r="G56" s="14" t="s">
        <v>122</v>
      </c>
      <c r="I56" s="86">
        <v>0</v>
      </c>
      <c r="J56" s="86">
        <v>0</v>
      </c>
      <c r="K56" s="84"/>
      <c r="L56" s="84"/>
    </row>
    <row r="57" spans="7:12" s="14" customFormat="1">
      <c r="G57" s="14" t="s">
        <v>123</v>
      </c>
      <c r="I57" s="14">
        <f>I55-I56</f>
        <v>15000</v>
      </c>
      <c r="J57" s="14">
        <f>J55-J56</f>
        <v>0</v>
      </c>
    </row>
    <row r="58" spans="7:12" s="14" customFormat="1" ht="16">
      <c r="G58" s="14" t="s">
        <v>124</v>
      </c>
      <c r="I58" s="83">
        <f>-I57*$L$30</f>
        <v>-5100</v>
      </c>
      <c r="J58" s="83">
        <f>-J57*$L$30</f>
        <v>0</v>
      </c>
    </row>
    <row r="59" spans="7:12" s="14" customFormat="1">
      <c r="G59" s="14" t="s">
        <v>125</v>
      </c>
      <c r="I59" s="14">
        <f>SUM(I57:I58)</f>
        <v>9900</v>
      </c>
      <c r="J59" s="14">
        <f>SUM(J57:J58)</f>
        <v>0</v>
      </c>
      <c r="K59" s="14">
        <f>I59-J59</f>
        <v>9900</v>
      </c>
    </row>
    <row r="60" spans="7:12" s="14" customFormat="1"/>
    <row r="61" spans="7:12" s="14" customFormat="1"/>
    <row r="62" spans="7:12" s="14" customFormat="1"/>
    <row r="63" spans="7:12" s="14" customFormat="1"/>
    <row r="64" spans="7:12"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pans="1:36" s="14" customFormat="1"/>
    <row r="82" spans="1:36" s="14" customFormat="1"/>
    <row r="83" spans="1:36" s="14" customFormat="1"/>
    <row r="84" spans="1:36" s="14" customFormat="1"/>
    <row r="85" spans="1:36" s="14" customFormat="1"/>
    <row r="86" spans="1:36" s="14" customFormat="1"/>
    <row r="87" spans="1:36" s="14" customFormat="1"/>
    <row r="88" spans="1:36" s="14" customFormat="1"/>
    <row r="89" spans="1:36" s="14" customFormat="1"/>
    <row r="90" spans="1:36" s="14" customFormat="1"/>
    <row r="91" spans="1:36" s="14" customFormat="1"/>
    <row r="92" spans="1:36">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row>
    <row r="93" spans="1:3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row>
    <row r="94" spans="1:3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row>
    <row r="95" spans="1:36">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row>
    <row r="96" spans="1:3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row>
    <row r="97" spans="1:36">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row>
    <row r="98" spans="1:36">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row>
    <row r="99" spans="1:36">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row>
    <row r="100" spans="1:36">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row>
    <row r="101" spans="1:36">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row>
    <row r="102" spans="1:36">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row>
    <row r="103" spans="1:36">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row>
    <row r="104" spans="1:36">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row>
    <row r="105" spans="1:36">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row>
    <row r="106" spans="1:3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row>
    <row r="107" spans="1:36">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row>
    <row r="108" spans="1:36">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row>
    <row r="109" spans="1:36">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row>
    <row r="110" spans="1:36">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row>
    <row r="111" spans="1:36">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row>
    <row r="112" spans="1:36">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row>
    <row r="113" spans="1:36">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row>
    <row r="114" spans="1:36">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row>
    <row r="115" spans="1:36">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row>
    <row r="116" spans="1:3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row>
    <row r="117" spans="1:36">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row>
    <row r="118" spans="1:36">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row>
    <row r="119" spans="1:36">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row>
    <row r="120" spans="1:36">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row>
    <row r="121" spans="1:36">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row>
    <row r="122" spans="1:36">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row>
    <row r="123" spans="1:36">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row>
    <row r="124" spans="1:36">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row>
    <row r="125" spans="1:36">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row>
    <row r="126" spans="1:3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row>
    <row r="127" spans="1:36">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row>
    <row r="128" spans="1:36">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row>
    <row r="129" spans="1:36">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row>
    <row r="130" spans="1:36">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row>
    <row r="131" spans="1:36">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row>
    <row r="132" spans="1:36">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row>
    <row r="133" spans="1:36">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row>
    <row r="134" spans="1:36">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row>
    <row r="135" spans="1:36">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row>
    <row r="136" spans="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row>
    <row r="137" spans="1:36">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row>
    <row r="138" spans="1:36">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row>
    <row r="139" spans="1:36">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row>
    <row r="140" spans="1:36">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row>
    <row r="141" spans="1:36">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row>
    <row r="142" spans="1:36">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row>
    <row r="143" spans="1:36">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row>
    <row r="144" spans="1:36">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row>
    <row r="145" spans="1:36">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row>
    <row r="146" spans="1:3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row>
    <row r="147" spans="1:36">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row>
    <row r="148" spans="1:36">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row>
    <row r="149" spans="1:36">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row>
    <row r="150" spans="1:36">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row>
    <row r="151" spans="1:36">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row>
    <row r="152" spans="1:36">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row>
    <row r="153" spans="1:36">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row>
    <row r="154" spans="1:36">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row>
    <row r="155" spans="1:36">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row>
    <row r="156" spans="1:3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row>
    <row r="157" spans="1:36">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row>
    <row r="158" spans="1:36">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row>
    <row r="159" spans="1:36">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row>
    <row r="160" spans="1:36">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row>
    <row r="161" spans="1:36">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row>
    <row r="162" spans="1:36">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row>
    <row r="163" spans="1:36">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row>
    <row r="164" spans="1:36">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row>
    <row r="165" spans="1:36">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row>
    <row r="166" spans="1:3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row>
  </sheetData>
  <mergeCells count="5">
    <mergeCell ref="B35:L35"/>
    <mergeCell ref="B37:E37"/>
    <mergeCell ref="G37:L37"/>
    <mergeCell ref="M8:Q8"/>
    <mergeCell ref="B27:L27"/>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dimension ref="A2:H47"/>
  <sheetViews>
    <sheetView zoomScale="115" zoomScaleNormal="115" workbookViewId="0">
      <selection activeCell="C25" sqref="C25"/>
    </sheetView>
  </sheetViews>
  <sheetFormatPr defaultColWidth="9.1796875" defaultRowHeight="14.5"/>
  <cols>
    <col min="1" max="1" width="5.7265625" style="48" customWidth="1"/>
    <col min="2" max="2" width="14.26953125" style="38" customWidth="1"/>
    <col min="3" max="4" width="11.453125" style="38" customWidth="1"/>
    <col min="5" max="5" width="9.453125" style="38" customWidth="1"/>
    <col min="6" max="16384" width="9.1796875" style="38"/>
  </cols>
  <sheetData>
    <row r="2" spans="1:8" ht="23.5">
      <c r="B2" s="55" t="s">
        <v>26</v>
      </c>
    </row>
    <row r="3" spans="1:8" ht="15" thickBot="1"/>
    <row r="4" spans="1:8" ht="29.5" thickBot="1">
      <c r="C4" s="41" t="s">
        <v>24</v>
      </c>
      <c r="D4" s="42" t="s">
        <v>25</v>
      </c>
      <c r="F4" s="45" t="s">
        <v>27</v>
      </c>
    </row>
    <row r="5" spans="1:8" ht="15" thickBot="1">
      <c r="C5" s="39">
        <v>0</v>
      </c>
      <c r="D5" s="43">
        <v>-12500</v>
      </c>
      <c r="F5" s="46">
        <v>0.09</v>
      </c>
    </row>
    <row r="6" spans="1:8">
      <c r="C6" s="39">
        <v>1</v>
      </c>
      <c r="D6" s="43">
        <v>2500</v>
      </c>
    </row>
    <row r="7" spans="1:8">
      <c r="C7" s="39">
        <v>2</v>
      </c>
      <c r="D7" s="43">
        <v>3000</v>
      </c>
    </row>
    <row r="8" spans="1:8">
      <c r="C8" s="39">
        <v>3</v>
      </c>
      <c r="D8" s="43">
        <v>3500</v>
      </c>
    </row>
    <row r="9" spans="1:8">
      <c r="C9" s="39">
        <v>4</v>
      </c>
      <c r="D9" s="43">
        <v>4000</v>
      </c>
      <c r="H9" s="34"/>
    </row>
    <row r="10" spans="1:8">
      <c r="C10" s="39">
        <v>5</v>
      </c>
      <c r="D10" s="43">
        <v>3800</v>
      </c>
    </row>
    <row r="11" spans="1:8" ht="15" thickBot="1">
      <c r="C11" s="40">
        <v>6</v>
      </c>
      <c r="D11" s="44">
        <v>3500</v>
      </c>
    </row>
    <row r="13" spans="1:8">
      <c r="A13" s="48" t="s">
        <v>29</v>
      </c>
      <c r="B13" s="38" t="s">
        <v>40</v>
      </c>
    </row>
    <row r="14" spans="1:8" ht="15" thickBot="1"/>
    <row r="15" spans="1:8" ht="15" thickBot="1">
      <c r="B15" s="47" t="s">
        <v>28</v>
      </c>
      <c r="C15" s="94">
        <f>NPV(F5,D6:D11)+D5</f>
        <v>2411.6358979365323</v>
      </c>
      <c r="D15" s="95"/>
    </row>
    <row r="17" spans="1:4">
      <c r="A17" s="48" t="s">
        <v>30</v>
      </c>
      <c r="B17" s="38" t="s">
        <v>41</v>
      </c>
    </row>
    <row r="18" spans="1:4" ht="10.5" customHeight="1" thickBot="1"/>
    <row r="19" spans="1:4" ht="15" thickBot="1">
      <c r="B19" s="47" t="s">
        <v>28</v>
      </c>
      <c r="C19" s="96">
        <f>IRR(D5:D11)</f>
        <v>0.14814382649164515</v>
      </c>
      <c r="D19" s="97"/>
    </row>
    <row r="21" spans="1:4">
      <c r="A21" s="38" t="s">
        <v>31</v>
      </c>
      <c r="B21" s="38" t="s">
        <v>59</v>
      </c>
    </row>
    <row r="22" spans="1:4">
      <c r="B22" s="38" t="s">
        <v>38</v>
      </c>
    </row>
    <row r="23" spans="1:4" ht="11.25" customHeight="1" thickBot="1"/>
    <row r="24" spans="1:4" ht="15" thickBot="1">
      <c r="B24" s="47" t="s">
        <v>28</v>
      </c>
      <c r="C24" s="96">
        <f>C19</f>
        <v>0.14814382649164515</v>
      </c>
      <c r="D24" s="97"/>
    </row>
    <row r="26" spans="1:4">
      <c r="A26" s="38" t="s">
        <v>37</v>
      </c>
      <c r="B26" s="38" t="s">
        <v>97</v>
      </c>
    </row>
    <row r="27" spans="1:4">
      <c r="A27" s="38"/>
      <c r="B27" s="38" t="s">
        <v>98</v>
      </c>
    </row>
    <row r="28" spans="1:4">
      <c r="A28" s="38"/>
      <c r="B28" s="38" t="s">
        <v>99</v>
      </c>
    </row>
    <row r="29" spans="1:4">
      <c r="B29" s="38" t="s">
        <v>39</v>
      </c>
    </row>
    <row r="30" spans="1:4" ht="9.75" customHeight="1"/>
    <row r="31" spans="1:4" ht="15" thickBot="1">
      <c r="C31" s="98" t="s">
        <v>36</v>
      </c>
      <c r="D31" s="98"/>
    </row>
    <row r="32" spans="1:4">
      <c r="C32" s="49"/>
      <c r="D32" s="50">
        <f>C15</f>
        <v>2411.6358979365323</v>
      </c>
    </row>
    <row r="33" spans="3:6">
      <c r="C33" s="53">
        <v>0</v>
      </c>
      <c r="D33" s="51">
        <f t="dataTable" ref="D33:D47" dt2D="0" dtr="0" r1="F5"/>
        <v>7800</v>
      </c>
      <c r="F33" s="38" t="s">
        <v>32</v>
      </c>
    </row>
    <row r="34" spans="3:6">
      <c r="C34" s="53">
        <v>0.02</v>
      </c>
      <c r="D34" s="51">
        <v>6377.6735258968838</v>
      </c>
      <c r="F34" s="38" t="s">
        <v>33</v>
      </c>
    </row>
    <row r="35" spans="3:6">
      <c r="C35" s="53">
        <v>0.04</v>
      </c>
      <c r="D35" s="51">
        <v>5097.6426581075575</v>
      </c>
    </row>
    <row r="36" spans="3:6">
      <c r="C36" s="53">
        <v>0.06</v>
      </c>
      <c r="D36" s="51">
        <v>3942.4649780754735</v>
      </c>
      <c r="F36" s="38" t="s">
        <v>34</v>
      </c>
    </row>
    <row r="37" spans="3:6">
      <c r="C37" s="53">
        <v>0.08</v>
      </c>
      <c r="D37" s="51">
        <v>2897.1733732956964</v>
      </c>
      <c r="F37" s="38" t="s">
        <v>35</v>
      </c>
    </row>
    <row r="38" spans="3:6">
      <c r="C38" s="53">
        <v>0.1</v>
      </c>
      <c r="D38" s="51">
        <v>1948.881523131291</v>
      </c>
    </row>
    <row r="39" spans="3:6">
      <c r="C39" s="53">
        <v>0.12</v>
      </c>
      <c r="D39" s="51">
        <v>1086.4586466134788</v>
      </c>
    </row>
    <row r="40" spans="3:6">
      <c r="C40" s="53">
        <v>0.14000000000000001</v>
      </c>
      <c r="D40" s="51">
        <v>300.26029920052679</v>
      </c>
    </row>
    <row r="41" spans="3:6">
      <c r="C41" s="53">
        <v>0.18</v>
      </c>
      <c r="D41" s="51">
        <v>-1075.9136791334367</v>
      </c>
    </row>
    <row r="42" spans="3:6">
      <c r="C42" s="53">
        <v>0.2</v>
      </c>
      <c r="D42" s="51">
        <v>-1679.5803326474615</v>
      </c>
    </row>
    <row r="43" spans="3:6">
      <c r="C43" s="53">
        <v>0.22</v>
      </c>
      <c r="D43" s="51">
        <v>-2234.6915820288159</v>
      </c>
    </row>
    <row r="44" spans="3:6">
      <c r="C44" s="53">
        <v>0.24</v>
      </c>
      <c r="D44" s="51">
        <v>-2746.1650325256524</v>
      </c>
    </row>
    <row r="45" spans="3:6">
      <c r="C45" s="53">
        <v>0.26</v>
      </c>
      <c r="D45" s="51">
        <v>-3218.3328289075744</v>
      </c>
    </row>
    <row r="46" spans="3:6">
      <c r="C46" s="53">
        <v>0.28000000000000003</v>
      </c>
      <c r="D46" s="51">
        <v>-3655.0207179971039</v>
      </c>
    </row>
    <row r="47" spans="3:6" ht="15" thickBot="1">
      <c r="C47" s="54">
        <v>0.3</v>
      </c>
      <c r="D47" s="52">
        <v>-4059.6152654890629</v>
      </c>
    </row>
  </sheetData>
  <mergeCells count="4">
    <mergeCell ref="C15:D15"/>
    <mergeCell ref="C19:D19"/>
    <mergeCell ref="C24:D24"/>
    <mergeCell ref="C31:D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I19"/>
  <sheetViews>
    <sheetView workbookViewId="0">
      <selection activeCell="E19" sqref="E19"/>
    </sheetView>
  </sheetViews>
  <sheetFormatPr defaultRowHeight="14.5"/>
  <cols>
    <col min="1" max="1" width="5.81640625" customWidth="1"/>
    <col min="2" max="2" width="4.81640625" customWidth="1"/>
    <col min="3" max="3" width="10.453125" customWidth="1"/>
    <col min="4" max="4" width="11.453125" customWidth="1"/>
    <col min="5" max="5" width="17.26953125" customWidth="1"/>
  </cols>
  <sheetData>
    <row r="1" spans="1:9" ht="12.75" customHeight="1"/>
    <row r="2" spans="1:9" s="38" customFormat="1" ht="23.5">
      <c r="A2" s="48"/>
      <c r="B2" s="55" t="s">
        <v>42</v>
      </c>
    </row>
    <row r="3" spans="1:9" s="38" customFormat="1" ht="8.25" customHeight="1">
      <c r="A3" s="48"/>
    </row>
    <row r="4" spans="1:9" s="38" customFormat="1" ht="115.5" customHeight="1">
      <c r="A4" s="48"/>
      <c r="C4" s="99" t="s">
        <v>129</v>
      </c>
      <c r="D4" s="99"/>
      <c r="E4" s="99"/>
      <c r="F4" s="99"/>
      <c r="G4" s="99"/>
      <c r="H4" s="99"/>
      <c r="I4" s="62"/>
    </row>
    <row r="5" spans="1:9" s="38" customFormat="1" ht="9.75" customHeight="1" thickBot="1">
      <c r="A5" s="48"/>
    </row>
    <row r="6" spans="1:9" s="38" customFormat="1" ht="29.5" thickBot="1">
      <c r="A6" s="48"/>
      <c r="C6" s="58" t="s">
        <v>24</v>
      </c>
      <c r="D6" s="59" t="s">
        <v>25</v>
      </c>
    </row>
    <row r="7" spans="1:9" s="38" customFormat="1">
      <c r="A7" s="48"/>
      <c r="C7" s="60">
        <v>0</v>
      </c>
      <c r="D7" s="61">
        <v>-20000</v>
      </c>
    </row>
    <row r="8" spans="1:9" s="38" customFormat="1">
      <c r="A8" s="48"/>
      <c r="C8" s="39">
        <v>1</v>
      </c>
      <c r="D8" s="43">
        <v>1000</v>
      </c>
      <c r="F8" s="38">
        <f>D8</f>
        <v>1000</v>
      </c>
    </row>
    <row r="9" spans="1:9" s="38" customFormat="1">
      <c r="A9" s="48"/>
      <c r="C9" s="39">
        <v>2</v>
      </c>
      <c r="D9" s="43">
        <v>1500</v>
      </c>
      <c r="F9" s="38">
        <f>F8+D9</f>
        <v>2500</v>
      </c>
      <c r="G9" s="38" t="str">
        <f>IF(F9&gt;=-$D$7,C9,"")</f>
        <v/>
      </c>
    </row>
    <row r="10" spans="1:9" s="38" customFormat="1">
      <c r="A10" s="48"/>
      <c r="C10" s="39">
        <v>3</v>
      </c>
      <c r="D10" s="43">
        <v>3000</v>
      </c>
      <c r="F10" s="38">
        <f t="shared" ref="F10:F16" si="0">F9+D10</f>
        <v>5500</v>
      </c>
      <c r="G10" s="38" t="str">
        <f t="shared" ref="G10:G16" si="1">IF(F10&gt;=-$D$7,C10,"")</f>
        <v/>
      </c>
    </row>
    <row r="11" spans="1:9" s="38" customFormat="1">
      <c r="A11" s="48"/>
      <c r="C11" s="39">
        <v>4</v>
      </c>
      <c r="D11" s="43">
        <v>3500</v>
      </c>
      <c r="F11" s="38">
        <f t="shared" si="0"/>
        <v>9000</v>
      </c>
      <c r="G11" s="38" t="str">
        <f t="shared" si="1"/>
        <v/>
      </c>
    </row>
    <row r="12" spans="1:9" s="38" customFormat="1">
      <c r="A12" s="48"/>
      <c r="C12" s="39">
        <v>5</v>
      </c>
      <c r="D12" s="43">
        <v>3000</v>
      </c>
      <c r="F12" s="38">
        <f t="shared" si="0"/>
        <v>12000</v>
      </c>
      <c r="G12" s="38" t="str">
        <f t="shared" si="1"/>
        <v/>
      </c>
    </row>
    <row r="13" spans="1:9" s="38" customFormat="1">
      <c r="A13" s="48"/>
      <c r="C13" s="56">
        <v>6</v>
      </c>
      <c r="D13" s="57">
        <v>3000</v>
      </c>
      <c r="F13" s="38">
        <f t="shared" si="0"/>
        <v>15000</v>
      </c>
      <c r="G13" s="38" t="str">
        <f t="shared" si="1"/>
        <v/>
      </c>
    </row>
    <row r="14" spans="1:9" s="38" customFormat="1">
      <c r="A14" s="48"/>
      <c r="C14" s="56">
        <v>7</v>
      </c>
      <c r="D14" s="57">
        <v>0</v>
      </c>
      <c r="F14" s="38">
        <f t="shared" si="0"/>
        <v>15000</v>
      </c>
      <c r="G14" s="38" t="str">
        <f t="shared" si="1"/>
        <v/>
      </c>
    </row>
    <row r="15" spans="1:9" s="38" customFormat="1">
      <c r="A15" s="48"/>
      <c r="C15" s="56">
        <v>8</v>
      </c>
      <c r="D15" s="57">
        <v>0</v>
      </c>
      <c r="F15" s="38">
        <f t="shared" si="0"/>
        <v>15000</v>
      </c>
      <c r="G15" s="38" t="str">
        <f t="shared" si="1"/>
        <v/>
      </c>
    </row>
    <row r="16" spans="1:9" s="38" customFormat="1" ht="15" thickBot="1">
      <c r="A16" s="48"/>
      <c r="C16" s="40">
        <v>9</v>
      </c>
      <c r="D16" s="44">
        <v>0</v>
      </c>
      <c r="F16" s="38">
        <f t="shared" si="0"/>
        <v>15000</v>
      </c>
      <c r="G16" s="38" t="str">
        <f t="shared" si="1"/>
        <v/>
      </c>
    </row>
    <row r="17" spans="1:5" s="38" customFormat="1">
      <c r="A17" s="48"/>
    </row>
    <row r="18" spans="1:5" ht="15" thickBot="1"/>
    <row r="19" spans="1:5" ht="15" thickBot="1">
      <c r="C19" s="64" t="s">
        <v>43</v>
      </c>
      <c r="E19" s="63" t="str">
        <f>IF(F16&lt;-D7,"NEVER",MIN(G9:G16))</f>
        <v>NEVER</v>
      </c>
    </row>
  </sheetData>
  <mergeCells count="1">
    <mergeCell ref="C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F22"/>
  <sheetViews>
    <sheetView workbookViewId="0">
      <selection activeCell="G13" sqref="G13"/>
    </sheetView>
  </sheetViews>
  <sheetFormatPr defaultColWidth="9.1796875" defaultRowHeight="14.5"/>
  <cols>
    <col min="1" max="1" width="3.81640625" style="15" customWidth="1"/>
    <col min="2" max="2" width="9.1796875" style="15"/>
    <col min="3" max="5" width="12.26953125" style="15" customWidth="1"/>
    <col min="6" max="6" width="16.26953125" style="15" customWidth="1"/>
    <col min="7" max="16384" width="9.1796875" style="15"/>
  </cols>
  <sheetData>
    <row r="2" spans="2:6" ht="23.5">
      <c r="B2" s="65" t="s">
        <v>47</v>
      </c>
    </row>
    <row r="3" spans="2:6" ht="9" customHeight="1"/>
    <row r="4" spans="2:6" ht="76.5" customHeight="1">
      <c r="B4" s="101" t="s">
        <v>57</v>
      </c>
      <c r="C4" s="101"/>
      <c r="D4" s="101"/>
      <c r="E4" s="101"/>
      <c r="F4" s="101"/>
    </row>
    <row r="5" spans="2:6" ht="15" thickBot="1">
      <c r="B5" s="19"/>
    </row>
    <row r="6" spans="2:6" ht="15" thickBot="1">
      <c r="C6" s="29" t="s">
        <v>1</v>
      </c>
      <c r="D6" s="31" t="s">
        <v>2</v>
      </c>
    </row>
    <row r="7" spans="2:6">
      <c r="C7" s="71">
        <v>1</v>
      </c>
      <c r="D7" s="72">
        <v>0.33329999999999999</v>
      </c>
    </row>
    <row r="8" spans="2:6">
      <c r="C8" s="22">
        <v>2</v>
      </c>
      <c r="D8" s="23">
        <v>0.44450000000000001</v>
      </c>
    </row>
    <row r="9" spans="2:6">
      <c r="C9" s="22">
        <v>3</v>
      </c>
      <c r="D9" s="23">
        <v>0.14810000000000001</v>
      </c>
    </row>
    <row r="10" spans="2:6">
      <c r="C10" s="22">
        <v>4</v>
      </c>
      <c r="D10" s="23">
        <v>7.4099999999999999E-2</v>
      </c>
    </row>
    <row r="11" spans="2:6">
      <c r="C11" s="22">
        <v>5</v>
      </c>
      <c r="D11" s="69"/>
      <c r="E11" s="88"/>
    </row>
    <row r="12" spans="2:6">
      <c r="C12" s="22">
        <v>6</v>
      </c>
      <c r="D12" s="69"/>
    </row>
    <row r="13" spans="2:6">
      <c r="C13" s="22">
        <v>7</v>
      </c>
      <c r="D13" s="69"/>
    </row>
    <row r="14" spans="2:6">
      <c r="C14" s="22">
        <v>8</v>
      </c>
      <c r="D14" s="69"/>
    </row>
    <row r="15" spans="2:6">
      <c r="C15" s="22">
        <v>9</v>
      </c>
      <c r="D15" s="69"/>
    </row>
    <row r="16" spans="2:6" ht="15" thickBot="1">
      <c r="C16" s="24">
        <v>10</v>
      </c>
      <c r="D16" s="70"/>
    </row>
    <row r="18" spans="3:6">
      <c r="C18" s="100" t="s">
        <v>6</v>
      </c>
      <c r="D18" s="100"/>
      <c r="E18" s="100"/>
      <c r="F18" s="100"/>
    </row>
    <row r="19" spans="3:6">
      <c r="C19" s="15" t="s">
        <v>53</v>
      </c>
      <c r="F19" s="66">
        <v>50000</v>
      </c>
    </row>
    <row r="20" spans="3:6">
      <c r="C20" s="15" t="s">
        <v>58</v>
      </c>
      <c r="F20" s="67">
        <v>3</v>
      </c>
    </row>
    <row r="21" spans="3:6" ht="15" thickBot="1"/>
    <row r="22" spans="3:6" ht="15" thickBot="1">
      <c r="C22" s="68" t="s">
        <v>55</v>
      </c>
      <c r="F22" s="89">
        <f>VLOOKUP(F20,C7:D16,2)*F19</f>
        <v>7405.0000000000009</v>
      </c>
    </row>
  </sheetData>
  <mergeCells count="2">
    <mergeCell ref="C18:F18"/>
    <mergeCell ref="B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H31"/>
  <sheetViews>
    <sheetView zoomScale="115" zoomScaleNormal="115" workbookViewId="0">
      <selection activeCell="F30" sqref="F30"/>
    </sheetView>
  </sheetViews>
  <sheetFormatPr defaultRowHeight="14.5"/>
  <cols>
    <col min="1" max="1" width="3.81640625" customWidth="1"/>
    <col min="3" max="6" width="12.26953125" customWidth="1"/>
    <col min="7" max="7" width="4.26953125" customWidth="1"/>
    <col min="8" max="8" width="10.1796875" customWidth="1"/>
  </cols>
  <sheetData>
    <row r="2" spans="2:6" ht="23.5">
      <c r="B2" s="65" t="s">
        <v>56</v>
      </c>
    </row>
    <row r="3" spans="2:6" ht="9" customHeight="1"/>
    <row r="4" spans="2:6">
      <c r="B4" s="19" t="s">
        <v>44</v>
      </c>
    </row>
    <row r="5" spans="2:6">
      <c r="B5" s="19" t="s">
        <v>49</v>
      </c>
    </row>
    <row r="6" spans="2:6">
      <c r="B6" s="19" t="s">
        <v>45</v>
      </c>
    </row>
    <row r="7" spans="2:6">
      <c r="B7" s="19" t="s">
        <v>46</v>
      </c>
    </row>
    <row r="8" spans="2:6">
      <c r="B8" s="19" t="s">
        <v>50</v>
      </c>
    </row>
    <row r="9" spans="2:6">
      <c r="B9" s="19" t="s">
        <v>51</v>
      </c>
    </row>
    <row r="10" spans="2:6" s="15" customFormat="1">
      <c r="B10" s="19" t="s">
        <v>54</v>
      </c>
    </row>
    <row r="11" spans="2:6" s="15" customFormat="1">
      <c r="B11" s="19"/>
    </row>
    <row r="12" spans="2:6" ht="19" thickBot="1">
      <c r="B12" s="93" t="s">
        <v>0</v>
      </c>
      <c r="C12" s="93"/>
      <c r="D12" s="93"/>
      <c r="E12" s="93"/>
      <c r="F12" s="93"/>
    </row>
    <row r="13" spans="2:6" ht="15" thickBot="1">
      <c r="B13" s="29" t="s">
        <v>1</v>
      </c>
      <c r="C13" s="30" t="s">
        <v>2</v>
      </c>
      <c r="D13" s="30" t="s">
        <v>3</v>
      </c>
      <c r="E13" s="30" t="s">
        <v>4</v>
      </c>
      <c r="F13" s="31" t="s">
        <v>5</v>
      </c>
    </row>
    <row r="14" spans="2:6">
      <c r="B14" s="26">
        <v>1</v>
      </c>
      <c r="C14" s="27">
        <v>0.33329999999999999</v>
      </c>
      <c r="D14" s="27">
        <v>0.2</v>
      </c>
      <c r="E14" s="27">
        <v>0.1429</v>
      </c>
      <c r="F14" s="28">
        <v>0.1</v>
      </c>
    </row>
    <row r="15" spans="2:6">
      <c r="B15" s="22">
        <v>2</v>
      </c>
      <c r="C15" s="21">
        <v>0.44450000000000001</v>
      </c>
      <c r="D15" s="21">
        <v>0.32</v>
      </c>
      <c r="E15" s="21">
        <v>0.24490000000000001</v>
      </c>
      <c r="F15" s="23">
        <v>0.18</v>
      </c>
    </row>
    <row r="16" spans="2:6">
      <c r="B16" s="22">
        <v>3</v>
      </c>
      <c r="C16" s="21">
        <v>0.14810000000000001</v>
      </c>
      <c r="D16" s="21">
        <v>0.192</v>
      </c>
      <c r="E16" s="21">
        <v>0.1749</v>
      </c>
      <c r="F16" s="23">
        <v>0.14399999999999999</v>
      </c>
    </row>
    <row r="17" spans="2:8">
      <c r="B17" s="22">
        <v>4</v>
      </c>
      <c r="C17" s="21">
        <v>7.4099999999999999E-2</v>
      </c>
      <c r="D17" s="21">
        <v>0.1152</v>
      </c>
      <c r="E17" s="21">
        <v>0.1249</v>
      </c>
      <c r="F17" s="23">
        <v>0.1152</v>
      </c>
    </row>
    <row r="18" spans="2:8">
      <c r="B18" s="22">
        <v>5</v>
      </c>
      <c r="C18" s="32"/>
      <c r="D18" s="21">
        <v>0.1152</v>
      </c>
      <c r="E18" s="21">
        <v>8.9300000000000004E-2</v>
      </c>
      <c r="F18" s="23">
        <v>9.2200000000000004E-2</v>
      </c>
    </row>
    <row r="19" spans="2:8">
      <c r="B19" s="22">
        <v>6</v>
      </c>
      <c r="C19" s="32"/>
      <c r="D19" s="21">
        <v>5.7599999999999998E-2</v>
      </c>
      <c r="E19" s="21">
        <v>8.9200000000000002E-2</v>
      </c>
      <c r="F19" s="23">
        <v>7.3700000000000002E-2</v>
      </c>
    </row>
    <row r="20" spans="2:8">
      <c r="B20" s="22">
        <v>7</v>
      </c>
      <c r="C20" s="32"/>
      <c r="D20" s="32"/>
      <c r="E20" s="21">
        <v>8.9300000000000004E-2</v>
      </c>
      <c r="F20" s="23">
        <v>6.5500000000000003E-2</v>
      </c>
    </row>
    <row r="21" spans="2:8">
      <c r="B21" s="22">
        <v>8</v>
      </c>
      <c r="C21" s="32"/>
      <c r="D21" s="32"/>
      <c r="E21" s="21">
        <v>4.4600000000000001E-2</v>
      </c>
      <c r="F21" s="23">
        <v>6.5500000000000003E-2</v>
      </c>
    </row>
    <row r="22" spans="2:8">
      <c r="B22" s="22">
        <v>9</v>
      </c>
      <c r="C22" s="32"/>
      <c r="D22" s="32"/>
      <c r="E22" s="32"/>
      <c r="F22" s="23">
        <v>6.5600000000000006E-2</v>
      </c>
    </row>
    <row r="23" spans="2:8">
      <c r="B23" s="22">
        <v>10</v>
      </c>
      <c r="C23" s="32"/>
      <c r="D23" s="32"/>
      <c r="E23" s="32"/>
      <c r="F23" s="23">
        <v>6.5500000000000003E-2</v>
      </c>
    </row>
    <row r="24" spans="2:8" ht="15" thickBot="1">
      <c r="B24" s="24">
        <v>11</v>
      </c>
      <c r="C24" s="33"/>
      <c r="D24" s="33"/>
      <c r="E24" s="33"/>
      <c r="F24" s="25">
        <v>3.2800000000000003E-2</v>
      </c>
    </row>
    <row r="26" spans="2:8">
      <c r="C26" s="100" t="s">
        <v>6</v>
      </c>
      <c r="D26" s="100"/>
      <c r="E26" s="100"/>
      <c r="F26" s="100"/>
    </row>
    <row r="27" spans="2:8">
      <c r="C27" s="15" t="s">
        <v>53</v>
      </c>
      <c r="F27" s="66">
        <v>50000</v>
      </c>
    </row>
    <row r="28" spans="2:8">
      <c r="C28" s="15" t="s">
        <v>48</v>
      </c>
      <c r="F28" s="67">
        <v>8</v>
      </c>
    </row>
    <row r="29" spans="2:8">
      <c r="C29" s="15" t="s">
        <v>52</v>
      </c>
      <c r="F29" s="67">
        <v>10</v>
      </c>
      <c r="H29">
        <f>IF(F29=3,2,IF(F29=5,3,IF(F29=7,4,5)))</f>
        <v>5</v>
      </c>
    </row>
    <row r="30" spans="2:8" ht="15" thickBot="1"/>
    <row r="31" spans="2:8" ht="15" thickBot="1">
      <c r="C31" s="68" t="s">
        <v>55</v>
      </c>
      <c r="F31" s="90">
        <f>VLOOKUP(F28,B14:F24,H29)*F27</f>
        <v>3275</v>
      </c>
    </row>
  </sheetData>
  <mergeCells count="2">
    <mergeCell ref="B12:F12"/>
    <mergeCell ref="C26:F2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H25"/>
  <sheetViews>
    <sheetView workbookViewId="0">
      <selection activeCell="F26" sqref="F26"/>
    </sheetView>
  </sheetViews>
  <sheetFormatPr defaultColWidth="9.1796875" defaultRowHeight="14.5"/>
  <cols>
    <col min="1" max="1" width="5.7265625" style="48" customWidth="1"/>
    <col min="2" max="2" width="14.26953125" style="38" customWidth="1"/>
    <col min="3" max="4" width="11.453125" style="38" customWidth="1"/>
    <col min="5" max="5" width="9.453125" style="38" customWidth="1"/>
    <col min="6" max="16384" width="9.1796875" style="38"/>
  </cols>
  <sheetData>
    <row r="2" spans="1:8" ht="23.5">
      <c r="B2" s="55" t="s">
        <v>60</v>
      </c>
    </row>
    <row r="3" spans="1:8" ht="15" thickBot="1"/>
    <row r="4" spans="1:8" ht="29.5" thickBot="1">
      <c r="C4" s="41" t="s">
        <v>24</v>
      </c>
      <c r="D4" s="42" t="s">
        <v>25</v>
      </c>
      <c r="F4" s="45" t="s">
        <v>27</v>
      </c>
    </row>
    <row r="5" spans="1:8" ht="15" thickBot="1">
      <c r="C5" s="39">
        <v>0</v>
      </c>
      <c r="D5" s="43">
        <v>-10000</v>
      </c>
      <c r="F5" s="46">
        <v>0.09</v>
      </c>
    </row>
    <row r="6" spans="1:8">
      <c r="C6" s="39">
        <v>1</v>
      </c>
      <c r="D6" s="43">
        <v>2500</v>
      </c>
    </row>
    <row r="7" spans="1:8">
      <c r="C7" s="39">
        <v>2</v>
      </c>
      <c r="D7" s="43">
        <v>3000</v>
      </c>
    </row>
    <row r="8" spans="1:8">
      <c r="C8" s="39">
        <v>3</v>
      </c>
      <c r="D8" s="43">
        <v>3500</v>
      </c>
    </row>
    <row r="9" spans="1:8">
      <c r="C9" s="39">
        <v>4</v>
      </c>
      <c r="D9" s="43">
        <v>5000</v>
      </c>
      <c r="G9" s="34"/>
      <c r="H9" s="34"/>
    </row>
    <row r="10" spans="1:8">
      <c r="C10" s="39">
        <v>5</v>
      </c>
      <c r="D10" s="43">
        <v>3800</v>
      </c>
    </row>
    <row r="11" spans="1:8" ht="15" thickBot="1">
      <c r="C11" s="40">
        <v>6</v>
      </c>
      <c r="D11" s="44">
        <v>-2500</v>
      </c>
    </row>
    <row r="13" spans="1:8">
      <c r="A13" s="48" t="s">
        <v>29</v>
      </c>
      <c r="B13" s="38" t="s">
        <v>61</v>
      </c>
    </row>
    <row r="14" spans="1:8">
      <c r="B14" s="38" t="s">
        <v>66</v>
      </c>
    </row>
    <row r="15" spans="1:8" ht="15" thickBot="1"/>
    <row r="16" spans="1:8" ht="15" thickBot="1">
      <c r="B16" s="47" t="s">
        <v>28</v>
      </c>
      <c r="C16" s="102">
        <f>-PMT(F5,6,(NPV(F5,D6:D11)+D5))</f>
        <v>455.30410475444904</v>
      </c>
      <c r="D16" s="103"/>
    </row>
    <row r="18" spans="1:4">
      <c r="A18" s="38" t="s">
        <v>30</v>
      </c>
      <c r="B18" s="38" t="s">
        <v>67</v>
      </c>
    </row>
    <row r="19" spans="1:4" ht="15" thickBot="1"/>
    <row r="20" spans="1:4" ht="15" thickBot="1">
      <c r="B20" s="47" t="s">
        <v>28</v>
      </c>
      <c r="C20" s="106">
        <f>(NPV(F5,D6:D11)+D5)/-D5</f>
        <v>0.20424571477264361</v>
      </c>
      <c r="D20" s="107"/>
    </row>
    <row r="22" spans="1:4">
      <c r="A22" s="38" t="s">
        <v>31</v>
      </c>
      <c r="B22" s="38" t="s">
        <v>62</v>
      </c>
    </row>
    <row r="23" spans="1:4">
      <c r="B23" s="38" t="s">
        <v>68</v>
      </c>
    </row>
    <row r="24" spans="1:4" ht="15" thickBot="1"/>
    <row r="25" spans="1:4" ht="15" thickBot="1">
      <c r="B25" s="47" t="s">
        <v>28</v>
      </c>
      <c r="C25" s="104">
        <f>MIRR(D5:D11,F5,F5)</f>
        <v>0.12013053024128673</v>
      </c>
      <c r="D25" s="105"/>
    </row>
  </sheetData>
  <mergeCells count="3">
    <mergeCell ref="C16:D16"/>
    <mergeCell ref="C25:D25"/>
    <mergeCell ref="C20:D20"/>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H11"/>
  <sheetViews>
    <sheetView workbookViewId="0">
      <selection activeCell="E8" sqref="E8"/>
    </sheetView>
  </sheetViews>
  <sheetFormatPr defaultRowHeight="14.5"/>
  <cols>
    <col min="1" max="1" width="4.81640625" customWidth="1"/>
    <col min="5" max="5" width="18.26953125" customWidth="1"/>
  </cols>
  <sheetData>
    <row r="2" spans="2:8" s="15" customFormat="1"/>
    <row r="3" spans="2:8" s="15" customFormat="1" ht="18.5">
      <c r="B3" s="73" t="s">
        <v>69</v>
      </c>
    </row>
    <row r="5" spans="2:8">
      <c r="B5" s="74" t="s">
        <v>65</v>
      </c>
    </row>
    <row r="6" spans="2:8">
      <c r="B6" s="74" t="s">
        <v>63</v>
      </c>
    </row>
    <row r="7" spans="2:8" ht="15" thickBot="1"/>
    <row r="8" spans="2:8" ht="15" thickBot="1">
      <c r="C8" s="15" t="s">
        <v>64</v>
      </c>
      <c r="E8" s="63"/>
      <c r="H8" s="15" t="s">
        <v>130</v>
      </c>
    </row>
    <row r="9" spans="2:8">
      <c r="H9" s="15" t="s">
        <v>131</v>
      </c>
    </row>
    <row r="10" spans="2:8">
      <c r="H10" s="15" t="s">
        <v>132</v>
      </c>
    </row>
    <row r="11" spans="2:8">
      <c r="H11" s="15" t="s">
        <v>133</v>
      </c>
    </row>
  </sheetData>
  <dataValidations count="1">
    <dataValidation type="list" allowBlank="1" showInputMessage="1" showErrorMessage="1" sqref="E8">
      <formula1>$H$8:$H$11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2:J16"/>
  <sheetViews>
    <sheetView topLeftCell="A3" workbookViewId="0">
      <selection activeCell="E20" sqref="E20"/>
    </sheetView>
  </sheetViews>
  <sheetFormatPr defaultColWidth="8.7265625" defaultRowHeight="14.5"/>
  <cols>
    <col min="1" max="1" width="8.7265625" style="76"/>
    <col min="2" max="2" width="14.453125" style="76" customWidth="1"/>
    <col min="3" max="3" width="12" style="76" customWidth="1"/>
    <col min="4" max="5" width="8.7265625" style="76"/>
    <col min="6" max="6" width="10.08984375" style="76" bestFit="1" customWidth="1"/>
    <col min="7" max="16384" width="8.7265625" style="76"/>
  </cols>
  <sheetData>
    <row r="2" spans="2:10" ht="23.5">
      <c r="B2" s="80" t="s">
        <v>77</v>
      </c>
    </row>
    <row r="4" spans="2:10" ht="17.5">
      <c r="B4" s="75" t="s">
        <v>1</v>
      </c>
      <c r="C4" s="75" t="s">
        <v>70</v>
      </c>
    </row>
    <row r="5" spans="2:10">
      <c r="B5" s="77">
        <v>0</v>
      </c>
      <c r="C5" s="78">
        <v>-5000</v>
      </c>
      <c r="E5" s="76" t="s">
        <v>71</v>
      </c>
    </row>
    <row r="6" spans="2:10">
      <c r="B6" s="77">
        <v>1</v>
      </c>
      <c r="C6" s="78">
        <v>2500</v>
      </c>
      <c r="E6" s="76" t="s">
        <v>72</v>
      </c>
    </row>
    <row r="7" spans="2:10">
      <c r="B7" s="77">
        <v>2</v>
      </c>
      <c r="C7" s="78">
        <v>3000</v>
      </c>
      <c r="E7" s="76" t="s">
        <v>73</v>
      </c>
    </row>
    <row r="8" spans="2:10">
      <c r="B8" s="77">
        <v>3</v>
      </c>
      <c r="C8" s="78">
        <v>4000</v>
      </c>
      <c r="E8" s="76" t="s">
        <v>78</v>
      </c>
    </row>
    <row r="9" spans="2:10">
      <c r="B9" s="77">
        <v>4</v>
      </c>
      <c r="C9" s="78">
        <v>3000</v>
      </c>
      <c r="E9" s="76" t="s">
        <v>74</v>
      </c>
    </row>
    <row r="10" spans="2:10">
      <c r="B10" s="77">
        <v>5</v>
      </c>
      <c r="C10" s="78">
        <v>3500</v>
      </c>
    </row>
    <row r="11" spans="2:10">
      <c r="C11" s="78"/>
    </row>
    <row r="12" spans="2:10">
      <c r="B12" s="76" t="s">
        <v>75</v>
      </c>
      <c r="C12" s="79">
        <v>0.1052</v>
      </c>
      <c r="E12" s="76" t="s">
        <v>134</v>
      </c>
      <c r="F12" s="76">
        <f>NPV(C12,C6:C10)+C5</f>
        <v>6814.4624888912549</v>
      </c>
    </row>
    <row r="13" spans="2:10" ht="15" thickBot="1"/>
    <row r="14" spans="2:10" ht="15" thickBot="1">
      <c r="B14" s="108" t="str">
        <f>"The project has an NPV of $"&amp;FIXED(F12,2)&amp;" using a discount rate of "&amp;FIXED(C12*100,2)&amp;"% ."</f>
        <v>The project has an NPV of $6,814.46 using a discount rate of 10.52% .</v>
      </c>
      <c r="C14" s="109"/>
      <c r="D14" s="109"/>
      <c r="E14" s="109"/>
      <c r="F14" s="109"/>
      <c r="G14" s="109"/>
      <c r="H14" s="109"/>
      <c r="I14" s="109"/>
      <c r="J14" s="110"/>
    </row>
    <row r="15" spans="2:10" ht="15" thickBot="1"/>
    <row r="16" spans="2:10" ht="15" thickBot="1">
      <c r="B16" s="111" t="s">
        <v>76</v>
      </c>
      <c r="C16" s="112"/>
      <c r="D16" s="112"/>
      <c r="E16" s="112"/>
      <c r="F16" s="112"/>
      <c r="G16" s="112"/>
      <c r="H16" s="112"/>
      <c r="I16" s="112"/>
      <c r="J16" s="113"/>
    </row>
  </sheetData>
  <mergeCells count="2">
    <mergeCell ref="B14:J14"/>
    <mergeCell ref="B16:J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vt:lpstr>
      <vt:lpstr>P1-40 Pts</vt:lpstr>
      <vt:lpstr>P2-20 Pts</vt:lpstr>
      <vt:lpstr>P3-10 Pts</vt:lpstr>
      <vt:lpstr>P4-5 Pts</vt:lpstr>
      <vt:lpstr>P5-10 Pts</vt:lpstr>
      <vt:lpstr>P6-10 Pts</vt:lpstr>
      <vt:lpstr>P7-5 Pts</vt:lpstr>
      <vt:lpstr>P8-10 Pts</vt:lpstr>
      <vt:lpstr>'P1-40 Pts'!Print_Area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cp:lastModifiedBy>
  <cp:lastPrinted>2009-11-23T19:29:51Z</cp:lastPrinted>
  <dcterms:created xsi:type="dcterms:W3CDTF">2009-11-18T17:11:57Z</dcterms:created>
  <dcterms:modified xsi:type="dcterms:W3CDTF">2009-11-30T19:32:30Z</dcterms:modified>
</cp:coreProperties>
</file>